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05"/>
  </bookViews>
  <sheets>
    <sheet name="分配表" sheetId="7" r:id="rId1"/>
    <sheet name="住房保障任务资金" sheetId="1" state="hidden" r:id="rId2"/>
    <sheet name="危旧房任务资金" sheetId="5" state="hidden" r:id="rId3"/>
    <sheet name="住房保障奖励资金" sheetId="6" state="hidden" r:id="rId4"/>
    <sheet name="危旧房奖励资金" sheetId="8" state="hidden" r:id="rId5"/>
    <sheet name="财力系数" sheetId="3" state="hidden" r:id="rId6"/>
    <sheet name="住房保障绩效系数" sheetId="2" state="hidden" r:id="rId7"/>
    <sheet name="危旧房绩效系数" sheetId="4" state="hidden" r:id="rId8"/>
  </sheets>
  <calcPr calcId="144525"/>
</workbook>
</file>

<file path=xl/sharedStrings.xml><?xml version="1.0" encoding="utf-8"?>
<sst xmlns="http://schemas.openxmlformats.org/spreadsheetml/2006/main" count="329" uniqueCount="118">
  <si>
    <t>2025年中央财政城镇保障性安居工程补助资金（住房保障、棚户区改造）分配方案</t>
  </si>
  <si>
    <t>单位：万元</t>
  </si>
  <si>
    <t>序号</t>
  </si>
  <si>
    <t>城市</t>
  </si>
  <si>
    <t>按任务量分配资金</t>
  </si>
  <si>
    <t>奖励资金</t>
  </si>
  <si>
    <t>应分配资金总数</t>
  </si>
  <si>
    <t>其中已提前下达数</t>
  </si>
  <si>
    <t>其中本次下达数</t>
  </si>
  <si>
    <t>住房保障</t>
  </si>
  <si>
    <t>棚户区（城市危旧房）改造</t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</si>
  <si>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</si>
  <si>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</si>
  <si>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</si>
  <si>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</si>
  <si>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</si>
  <si>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</si>
  <si>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</si>
  <si>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</si>
  <si>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</si>
  <si>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</si>
  <si>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广州市</t>
  </si>
  <si>
    <t>珠海市</t>
  </si>
  <si>
    <t>汕头市</t>
  </si>
  <si>
    <t>佛山市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</si>
  <si>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</si>
  <si>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</si>
  <si>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</si>
  <si>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</si>
  <si>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</si>
  <si>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</si>
  <si>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</si>
  <si>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</si>
  <si>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</si>
  <si>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</si>
  <si>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</si>
  <si>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</si>
  <si>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</si>
  <si>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</si>
  <si>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</si>
  <si>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</si>
  <si>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合计</t>
  </si>
  <si>
    <t>备注：住房保障①+③=⑤=⑦+⑨；城市危旧房②+④=⑥=⑧+⑩。</t>
  </si>
  <si>
    <r>
      <rPr>
        <sz val="16"/>
        <color theme="1"/>
        <rFont val="小标宋"/>
        <charset val="134"/>
      </rPr>
      <t xml:space="preserve">2025年下达中央财政城镇保障性安居工程补助资金分配计算表——按任务量分配住房保障资金
</t>
    </r>
    <r>
      <rPr>
        <b/>
        <sz val="14"/>
        <color theme="1"/>
        <rFont val="楷体_GB2312"/>
        <charset val="134"/>
      </rPr>
      <t>（清算提前下达住房保障资金以及下达第二笔资金）</t>
    </r>
  </si>
  <si>
    <t>财政困难程度系数</t>
  </si>
  <si>
    <t>配租型保障性住房</t>
  </si>
  <si>
    <t>配售型保障性住房</t>
  </si>
  <si>
    <t>租赁补贴</t>
  </si>
  <si>
    <t>本年度应分配资金（万元）</t>
  </si>
  <si>
    <t>2024年12月已提前下达资金（万元）</t>
  </si>
  <si>
    <t>本次下达资金
（万元）</t>
  </si>
  <si>
    <t>保租房筹集建设计划
（套/间）</t>
  </si>
  <si>
    <t>公租房新建设筹集计划（套）</t>
  </si>
  <si>
    <t>∑</t>
  </si>
  <si>
    <t>相应权重</t>
  </si>
  <si>
    <t>资金
（万元）</t>
  </si>
  <si>
    <t>其中保租房资金
（万元）</t>
  </si>
  <si>
    <t>其中公租房资金
（万元）</t>
  </si>
  <si>
    <t>建设筹集计划（套）</t>
  </si>
  <si>
    <t>发放计划（户）</t>
  </si>
  <si>
    <t>-</t>
  </si>
  <si>
    <t>备注：1.根据《住房城乡建设部办公厅 国家发展改革委办公厅 财政部办公厅关于报送2025年保障性住房、城中村改造和棚户区（城市危旧房）改造计划的通知》（建办保〔2024〕49号）附件5明确中央财政补助支持新建设筹集公租房的71个大中城市仅包括广州、深圳、惠州、韶关、湛江5市，因此其他城市虽有公租房筹建计划但不分配中央财政补助资金。
      2.配租型保障性住房相应权重+配售型保障性住房相应权重+租赁补贴相应权重=100%。保障性住房与租赁补贴的套（户）均补助权重比为1:0.7进行分配，因此得出配租型保障性住房:配售型保障性住房:租赁补贴=83.3%:1.2%:15.5%。
      3.提前下达资金分配因素为摸底数量，本次下达资金分配因数为各市上报盖章件的年度计划。其中，保障性租赁住房有广州、佛山、江门、茂名、肇庆5市年度计划相比摸底数量有更改；公租房有广州、惠州、湛江3市年度计划相比摸底数量有更改；配售型保障性住房有东莞市年度计划相比摸底数量有更改；租赁补贴有广州、汕头、佛山、韶关、河源、惠州、茂名、肇庆、清远、揭阳、云浮11市年度计划相比摸底数量有更改。因此，需要清算提前下达资金。
      4.因四舍五入，从广州市配售型保障性住房中减少1万元，使得总额为220858万元。</t>
  </si>
  <si>
    <r>
      <rPr>
        <sz val="16"/>
        <color theme="1"/>
        <rFont val="小标宋"/>
        <charset val="134"/>
      </rPr>
      <t xml:space="preserve">2025年下达中央财政城镇保障性安居工程补助资金分配计算表——按任务量分配棚户区（城市危旧房）改造资金
</t>
    </r>
    <r>
      <rPr>
        <b/>
        <sz val="14"/>
        <color theme="1"/>
        <rFont val="楷体_GB2312"/>
        <charset val="134"/>
      </rPr>
      <t>（清算提前下达城市危旧房资金以及下达第二笔资金）</t>
    </r>
  </si>
  <si>
    <t>改造计划（套/间）</t>
  </si>
  <si>
    <t>本年度应分配资金
（万元）</t>
  </si>
  <si>
    <t>2024年12月已提前下达资金
（万元）</t>
  </si>
  <si>
    <t>备注：1.提前下达资金分配因素为摸底数量，本次下达资金分配因数为各市上报盖章件的年度计划。其中，汕头、佛山、韶关、肇庆4市年度计划相比摸底数量有更改。因此，需要清算提前下达资金。
      2.因四舍五入，从江门市加1万元，使得总额为662万元。</t>
  </si>
  <si>
    <t>2025年下达中央财政城镇保障性安居工程补助资金分配计算表——住房保障奖励资金</t>
  </si>
  <si>
    <t>绩效调节系数</t>
  </si>
  <si>
    <t>计划汇总（套/间/户）</t>
  </si>
  <si>
    <t>配售型保障房建设筹集计划（套）</t>
  </si>
  <si>
    <t>租赁补贴发放计划（户）</t>
  </si>
  <si>
    <t>奖励资金
（万元）</t>
  </si>
  <si>
    <t>其中配售型保障房资金
（万元）</t>
  </si>
  <si>
    <t>其中租赁补贴资金
（万元）</t>
  </si>
  <si>
    <t>备注：1.根据《住房城乡建设部办公厅 国家发展改革委办公厅 财政部办公厅关于报送2025年保障性住房、城中村改造和棚户区（城市危旧房）改造计划的通知》（建办保〔2024〕49号）附件5明确中央财政补助支持新建设筹集公租房的71个大中城市仅包括广州、深圳、惠州、韶关、湛江5市，因此其他城市虽有公租房筹建计划但不分配中央财政补助资金。
      2.因四舍五入，从广州市减1万元，使得总额为14274万元。</t>
  </si>
  <si>
    <t>2025年下达中央财政城镇保障性安居工程补助资金分配计算表——棚户区（城市危旧房）改造奖励资金</t>
  </si>
  <si>
    <t>原改造计划
（套/间）</t>
  </si>
  <si>
    <t>拟增补改造计划
（套/间）</t>
  </si>
  <si>
    <t>实际应改造计划
（套/间）</t>
  </si>
  <si>
    <t>应下达金额
（万元）</t>
  </si>
  <si>
    <t>任务金额
（万元）</t>
  </si>
  <si>
    <t>备注：《财政部 住房城乡建设部关于印发&lt;中央财政城镇保障性安居工程补助资金管理办法&gt;的通知》（财综〔2024〕15号）绩效评价指标中明确“至2028年五年累计开工改造套数占比达到90%”，同时，住建部相关会议要求，原则上在2028年前完成现有城市危旧房改造；省要求，原则上2025-2028年每年完成待改造城市危旧房总量的四分之一以上，确保2028年前完成现有城市危旧房改造。对照全省已摸排出的底数14267套（间），结合2024年已启动改造数量，确定全省各城市需每年改造城市危旧房底数的四分之一。</t>
  </si>
  <si>
    <t>财力综合系数</t>
  </si>
  <si>
    <t>档</t>
  </si>
  <si>
    <t>地市个数</t>
  </si>
  <si>
    <t>0-2</t>
  </si>
  <si>
    <t>（汕头、河源、汕尾、阳江、潮州、揭阳、云浮）</t>
  </si>
  <si>
    <t>深圳市</t>
  </si>
  <si>
    <t>2-4</t>
  </si>
  <si>
    <t>基准=1</t>
  </si>
  <si>
    <t>（韶关、梅州、惠州、中山、江门、湛江、茂名、肇庆、清远）</t>
  </si>
  <si>
    <t>4-6</t>
  </si>
  <si>
    <t>（珠海、佛山、东莞）</t>
  </si>
  <si>
    <t>6-8</t>
  </si>
  <si>
    <t>（）</t>
  </si>
  <si>
    <t>高于8</t>
  </si>
  <si>
    <t>（广州、深圳）</t>
  </si>
  <si>
    <t>*使用省财政厅最新提供的2024年财力综合系数，对财力困难的城市适当倾斜。</t>
  </si>
  <si>
    <t>*财力综合系数=（某地可支配财力/县均可支配财力+某地人均GDP/全省县级人均GDP+某地人均可支配财力/全省县级人均可支配财力+某地人均一般公共预算支出/全省县级人均一般公共预算支出）*25%。系数越大，财力越好；反之，财力越差。</t>
  </si>
  <si>
    <t>住房保障绩效评价得分</t>
  </si>
  <si>
    <t>排名</t>
  </si>
  <si>
    <t>绩效评价得分</t>
  </si>
  <si>
    <t>80-100</t>
  </si>
  <si>
    <t>排名前20%（含），高于80分</t>
  </si>
  <si>
    <t>排名前20%（不含）-前80%（含），高于80分</t>
  </si>
  <si>
    <t>基准=0.8</t>
  </si>
  <si>
    <t>排名后20%（不含），高于80分</t>
  </si>
  <si>
    <t>60-80</t>
  </si>
  <si>
    <t>排名前20%（含），高于60分低于80分</t>
  </si>
  <si>
    <t>排名前20%（不含）-前80%（含），高于60分低于80分</t>
  </si>
  <si>
    <t>排名后20%（不含），高于60分低于80分</t>
  </si>
  <si>
    <t>0-60</t>
  </si>
  <si>
    <t>低于60分</t>
  </si>
  <si>
    <t>*我厅组织第三方专家（诚安信会计师事务所）开展保障性安居工程中央资金绩效评价工作。</t>
  </si>
  <si>
    <t>棚户区（城市危旧房）改造绩效评价得分</t>
  </si>
  <si>
    <t>*珠海、汕头、佛山、河源、梅州、惠州、中山、阳江、湛江、茂名、清远、揭阳、云浮等13市因2024年度没有危旧房任务及资金，因此13市没有开展绩效评价工作，故13市取基准得分80。</t>
  </si>
  <si>
    <t>*经核，汕尾市2024年度城市危旧房改造实际未在2024年底前开工，根据评分指标，绩效评价分数较低。</t>
  </si>
</sst>
</file>

<file path=xl/styles.xml><?xml version="1.0" encoding="utf-8"?>
<styleSheet xmlns="http://schemas.openxmlformats.org/spreadsheetml/2006/main">
  <numFmts count="8">
    <numFmt numFmtId="176" formatCode="0.000_ "/>
    <numFmt numFmtId="177" formatCode="0_ "/>
    <numFmt numFmtId="178" formatCode="0.00_ "/>
    <numFmt numFmtId="179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Tahoma"/>
      <charset val="134"/>
    </font>
    <font>
      <b/>
      <sz val="12"/>
      <color theme="1"/>
      <name val="仿宋_GB2312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6"/>
      <color theme="1"/>
      <name val="小标宋"/>
      <charset val="134"/>
    </font>
    <font>
      <b/>
      <sz val="12"/>
      <color indexed="8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Tahoma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4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3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12" borderId="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6" fillId="28" borderId="3" applyNumberFormat="false" applyAlignment="false" applyProtection="false">
      <alignment vertical="center"/>
    </xf>
    <xf numFmtId="0" fontId="28" fillId="12" borderId="9" applyNumberFormat="false" applyAlignment="false" applyProtection="false">
      <alignment vertical="center"/>
    </xf>
    <xf numFmtId="0" fontId="21" fillId="19" borderId="7" applyNumberFormat="false" applyAlignment="false" applyProtection="false">
      <alignment vertical="center"/>
    </xf>
    <xf numFmtId="0" fontId="29" fillId="0" borderId="10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5" fillId="26" borderId="8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4" fillId="0" borderId="0"/>
    <xf numFmtId="0" fontId="9" fillId="2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1" xfId="46" applyNumberFormat="true" applyFont="true" applyFill="true" applyBorder="true" applyAlignment="true">
      <alignment horizontal="center" vertical="center"/>
    </xf>
    <xf numFmtId="179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/>
    </xf>
    <xf numFmtId="49" fontId="4" fillId="0" borderId="0" xfId="0" applyNumberFormat="true" applyFont="true" applyAlignment="true">
      <alignment horizontal="center" vertical="center"/>
    </xf>
    <xf numFmtId="0" fontId="4" fillId="0" borderId="0" xfId="0" applyFont="true" applyAlignment="true">
      <alignment vertical="center" wrapText="true"/>
    </xf>
    <xf numFmtId="0" fontId="5" fillId="0" borderId="0" xfId="0" applyFont="true" applyFill="true" applyAlignment="true">
      <alignment vertical="center" wrapText="true"/>
    </xf>
    <xf numFmtId="0" fontId="4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4" fillId="0" borderId="0" xfId="0" applyFont="true" applyAlignment="true">
      <alignment vertical="center"/>
    </xf>
    <xf numFmtId="0" fontId="4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7" fillId="0" borderId="0" xfId="0" applyFont="true" applyFill="true" applyBorder="true" applyAlignment="true">
      <alignment horizontal="center" vertical="center" wrapText="true"/>
    </xf>
    <xf numFmtId="179" fontId="3" fillId="0" borderId="1" xfId="0" applyNumberFormat="true" applyFont="true" applyBorder="true" applyAlignment="true">
      <alignment horizontal="center" vertical="center"/>
    </xf>
    <xf numFmtId="0" fontId="8" fillId="0" borderId="1" xfId="46" applyNumberFormat="true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vertical="center" wrapText="true"/>
    </xf>
    <xf numFmtId="0" fontId="3" fillId="0" borderId="0" xfId="0" applyFont="true" applyBorder="true" applyAlignment="true">
      <alignment horizontal="right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vertical="center" wrapText="true"/>
    </xf>
    <xf numFmtId="0" fontId="7" fillId="0" borderId="0" xfId="0" applyFont="true" applyBorder="true" applyAlignment="true">
      <alignment horizontal="center" vertical="center" wrapText="true"/>
    </xf>
    <xf numFmtId="0" fontId="7" fillId="0" borderId="0" xfId="0" applyFont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vertical="center"/>
    </xf>
    <xf numFmtId="0" fontId="3" fillId="0" borderId="0" xfId="0" applyFont="true" applyFill="true" applyAlignment="true">
      <alignment horizontal="center" vertical="center"/>
    </xf>
    <xf numFmtId="177" fontId="3" fillId="0" borderId="0" xfId="0" applyNumberFormat="true" applyFont="true" applyAlignment="true">
      <alignment horizontal="center" vertical="center"/>
    </xf>
    <xf numFmtId="176" fontId="3" fillId="0" borderId="0" xfId="0" applyNumberFormat="true" applyFont="true" applyAlignment="true">
      <alignment horizontal="center" vertical="center"/>
    </xf>
    <xf numFmtId="0" fontId="7" fillId="0" borderId="0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/>
    </xf>
    <xf numFmtId="0" fontId="7" fillId="0" borderId="0" xfId="0" applyFont="true" applyFill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vertical="center"/>
    </xf>
    <xf numFmtId="0" fontId="3" fillId="0" borderId="1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27"/>
  <sheetViews>
    <sheetView tabSelected="1" workbookViewId="0">
      <selection activeCell="A1" sqref="A1:L1"/>
    </sheetView>
  </sheetViews>
  <sheetFormatPr defaultColWidth="9" defaultRowHeight="14.25"/>
  <cols>
    <col min="1" max="1" width="4.1" style="6" customWidth="true"/>
    <col min="2" max="2" width="7.62666666666667" style="6" customWidth="true"/>
    <col min="3" max="3" width="10.2533333333333" style="6" customWidth="true"/>
    <col min="4" max="4" width="12.6266666666667" style="6" customWidth="true"/>
    <col min="5" max="5" width="10.2533333333333" style="6" customWidth="true"/>
    <col min="6" max="6" width="12.6266666666667" style="6" customWidth="true"/>
    <col min="7" max="7" width="10.2533333333333" style="31" customWidth="true"/>
    <col min="8" max="8" width="12.6266666666667" style="31" customWidth="true"/>
    <col min="9" max="9" width="10.2533333333333" style="31" customWidth="true"/>
    <col min="10" max="10" width="12.6266666666667" style="31" customWidth="true"/>
    <col min="11" max="11" width="10.2533333333333" style="31" customWidth="true"/>
    <col min="12" max="12" width="12.6266666666667" style="6" customWidth="true"/>
    <col min="13" max="16384" width="9" style="6"/>
  </cols>
  <sheetData>
    <row r="1" ht="30" customHeight="true" spans="1:12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ht="19.5" customHeight="true" spans="2:12">
      <c r="B2" s="18"/>
      <c r="C2" s="34"/>
      <c r="D2" s="34"/>
      <c r="E2" s="34"/>
      <c r="F2" s="34"/>
      <c r="G2" s="34"/>
      <c r="H2" s="34"/>
      <c r="I2" s="34"/>
      <c r="J2" s="34"/>
      <c r="K2" s="34"/>
      <c r="L2" s="22" t="s">
        <v>1</v>
      </c>
    </row>
    <row r="3" ht="19.5" customHeight="true" spans="1:12">
      <c r="A3" s="2" t="s">
        <v>2</v>
      </c>
      <c r="B3" s="2" t="s">
        <v>3</v>
      </c>
      <c r="C3" s="2" t="s">
        <v>4</v>
      </c>
      <c r="D3" s="2"/>
      <c r="E3" s="2" t="s">
        <v>5</v>
      </c>
      <c r="F3" s="2"/>
      <c r="G3" s="35" t="s">
        <v>6</v>
      </c>
      <c r="H3" s="35"/>
      <c r="I3" s="35" t="s">
        <v>7</v>
      </c>
      <c r="J3" s="35"/>
      <c r="K3" s="2" t="s">
        <v>8</v>
      </c>
      <c r="L3" s="2"/>
    </row>
    <row r="4" ht="28.5" spans="1:12">
      <c r="A4" s="2"/>
      <c r="B4" s="2"/>
      <c r="C4" s="2" t="s">
        <v>9</v>
      </c>
      <c r="D4" s="2" t="s">
        <v>10</v>
      </c>
      <c r="E4" s="2" t="s">
        <v>9</v>
      </c>
      <c r="F4" s="2" t="s">
        <v>10</v>
      </c>
      <c r="G4" s="35" t="s">
        <v>9</v>
      </c>
      <c r="H4" s="35" t="s">
        <v>10</v>
      </c>
      <c r="I4" s="35" t="s">
        <v>9</v>
      </c>
      <c r="J4" s="35" t="s">
        <v>10</v>
      </c>
      <c r="K4" s="35" t="s">
        <v>9</v>
      </c>
      <c r="L4" s="2" t="s">
        <v>10</v>
      </c>
    </row>
    <row r="5" s="6" customFormat="true" spans="1:12">
      <c r="A5" s="5"/>
      <c r="B5" s="2"/>
      <c r="C5" s="38" t="s">
        <v>11</v>
      </c>
      <c r="D5" s="38" t="s">
        <v>12</v>
      </c>
      <c r="E5" s="38" t="s">
        <v>13</v>
      </c>
      <c r="F5" s="38" t="s">
        <v>14</v>
      </c>
      <c r="G5" s="40" t="s">
        <v>15</v>
      </c>
      <c r="H5" s="40" t="s">
        <v>16</v>
      </c>
      <c r="I5" s="40" t="s">
        <v>17</v>
      </c>
      <c r="J5" s="40" t="s">
        <v>18</v>
      </c>
      <c r="K5" s="40" t="s">
        <v>19</v>
      </c>
      <c r="L5" s="38" t="s">
        <v>20</v>
      </c>
    </row>
    <row r="6" ht="19.5" customHeight="true" spans="1:12">
      <c r="A6" s="5">
        <v>1</v>
      </c>
      <c r="B6" s="3" t="s">
        <v>21</v>
      </c>
      <c r="C6" s="5">
        <f>住房保障任务资金!R5</f>
        <v>110575</v>
      </c>
      <c r="D6" s="5">
        <f>危旧房任务资金!E4</f>
        <v>0</v>
      </c>
      <c r="E6" s="5">
        <f>住房保障奖励资金!I4</f>
        <v>8332</v>
      </c>
      <c r="F6" s="5">
        <f>危旧房奖励资金!I4</f>
        <v>0</v>
      </c>
      <c r="G6" s="17">
        <f>C6+E6</f>
        <v>118907</v>
      </c>
      <c r="H6" s="17">
        <f>D6+F6</f>
        <v>0</v>
      </c>
      <c r="I6" s="17">
        <f>住房保障任务资金!S5</f>
        <v>63366</v>
      </c>
      <c r="J6" s="17">
        <f>危旧房任务资金!F4</f>
        <v>0</v>
      </c>
      <c r="K6" s="17">
        <f>G6-I6</f>
        <v>55541</v>
      </c>
      <c r="L6" s="5">
        <f>H6-J6</f>
        <v>0</v>
      </c>
    </row>
    <row r="7" ht="19.5" customHeight="true" spans="1:12">
      <c r="A7" s="5">
        <v>2</v>
      </c>
      <c r="B7" s="3" t="s">
        <v>22</v>
      </c>
      <c r="C7" s="5">
        <f>住房保障任务资金!R6</f>
        <v>22562</v>
      </c>
      <c r="D7" s="5">
        <f>危旧房任务资金!E5</f>
        <v>0</v>
      </c>
      <c r="E7" s="5">
        <f>住房保障奖励资金!I5</f>
        <v>1022</v>
      </c>
      <c r="F7" s="5">
        <f>危旧房奖励资金!I5</f>
        <v>5</v>
      </c>
      <c r="G7" s="17">
        <f t="shared" ref="G7:G25" si="0">C7+E7</f>
        <v>23584</v>
      </c>
      <c r="H7" s="17">
        <f t="shared" ref="H7:H25" si="1">D7+F7</f>
        <v>5</v>
      </c>
      <c r="I7" s="17">
        <f>住房保障任务资金!S6</f>
        <v>9857</v>
      </c>
      <c r="J7" s="17">
        <f>危旧房任务资金!F5</f>
        <v>0</v>
      </c>
      <c r="K7" s="17">
        <f t="shared" ref="K7:K25" si="2">G7-I7</f>
        <v>13727</v>
      </c>
      <c r="L7" s="5">
        <f t="shared" ref="L7:L25" si="3">H7-J7</f>
        <v>5</v>
      </c>
    </row>
    <row r="8" ht="19.5" customHeight="true" spans="1:12">
      <c r="A8" s="5">
        <v>3</v>
      </c>
      <c r="B8" s="3" t="s">
        <v>23</v>
      </c>
      <c r="C8" s="5">
        <f>住房保障任务资金!R7</f>
        <v>3289</v>
      </c>
      <c r="D8" s="5">
        <f>危旧房任务资金!E6</f>
        <v>22</v>
      </c>
      <c r="E8" s="5">
        <f>住房保障奖励资金!I6</f>
        <v>195</v>
      </c>
      <c r="F8" s="5">
        <f>危旧房奖励资金!I6</f>
        <v>559</v>
      </c>
      <c r="G8" s="17">
        <f t="shared" si="0"/>
        <v>3484</v>
      </c>
      <c r="H8" s="17">
        <f t="shared" si="1"/>
        <v>581</v>
      </c>
      <c r="I8" s="17">
        <f>住房保障任务资金!S7</f>
        <v>1653</v>
      </c>
      <c r="J8" s="17">
        <f>危旧房任务资金!F6</f>
        <v>0</v>
      </c>
      <c r="K8" s="17">
        <f t="shared" si="2"/>
        <v>1831</v>
      </c>
      <c r="L8" s="5">
        <f t="shared" si="3"/>
        <v>581</v>
      </c>
    </row>
    <row r="9" ht="19.5" customHeight="true" spans="1:12">
      <c r="A9" s="5">
        <v>4</v>
      </c>
      <c r="B9" s="3" t="s">
        <v>24</v>
      </c>
      <c r="C9" s="5">
        <f>住房保障任务资金!R8</f>
        <v>28668</v>
      </c>
      <c r="D9" s="5">
        <f>危旧房任务资金!E7</f>
        <v>8</v>
      </c>
      <c r="E9" s="5">
        <f>住房保障奖励资金!I7</f>
        <v>1561</v>
      </c>
      <c r="F9" s="5">
        <f>危旧房奖励资金!I7</f>
        <v>6</v>
      </c>
      <c r="G9" s="17">
        <f t="shared" si="0"/>
        <v>30229</v>
      </c>
      <c r="H9" s="17">
        <f t="shared" si="1"/>
        <v>14</v>
      </c>
      <c r="I9" s="17">
        <f>住房保障任务资金!S8</f>
        <v>14034</v>
      </c>
      <c r="J9" s="17">
        <f>危旧房任务资金!F7</f>
        <v>0</v>
      </c>
      <c r="K9" s="17">
        <f t="shared" si="2"/>
        <v>16195</v>
      </c>
      <c r="L9" s="5">
        <f t="shared" si="3"/>
        <v>14</v>
      </c>
    </row>
    <row r="10" ht="19.5" customHeight="true" spans="1:12">
      <c r="A10" s="5">
        <v>5</v>
      </c>
      <c r="B10" s="3" t="s">
        <v>25</v>
      </c>
      <c r="C10" s="5">
        <f>住房保障任务资金!R9</f>
        <v>95</v>
      </c>
      <c r="D10" s="5">
        <f>危旧房任务资金!E8</f>
        <v>519</v>
      </c>
      <c r="E10" s="5">
        <f>住房保障奖励资金!I8</f>
        <v>9</v>
      </c>
      <c r="F10" s="5">
        <f>危旧房奖励资金!I8</f>
        <v>1387</v>
      </c>
      <c r="G10" s="17">
        <f t="shared" si="0"/>
        <v>104</v>
      </c>
      <c r="H10" s="17">
        <f t="shared" si="1"/>
        <v>1906</v>
      </c>
      <c r="I10" s="17">
        <f>住房保障任务资金!S9</f>
        <v>44</v>
      </c>
      <c r="J10" s="17">
        <f>危旧房任务资金!F8</f>
        <v>327</v>
      </c>
      <c r="K10" s="17">
        <f t="shared" si="2"/>
        <v>60</v>
      </c>
      <c r="L10" s="5">
        <f t="shared" si="3"/>
        <v>1579</v>
      </c>
    </row>
    <row r="11" ht="19.5" customHeight="true" spans="1:12">
      <c r="A11" s="5">
        <v>6</v>
      </c>
      <c r="B11" s="3" t="s">
        <v>26</v>
      </c>
      <c r="C11" s="5">
        <f>住房保障任务资金!R10</f>
        <v>213</v>
      </c>
      <c r="D11" s="5">
        <f>危旧房任务资金!E9</f>
        <v>0</v>
      </c>
      <c r="E11" s="5">
        <f>住房保障奖励资金!I9</f>
        <v>12</v>
      </c>
      <c r="F11" s="5">
        <f>危旧房奖励资金!I9</f>
        <v>139</v>
      </c>
      <c r="G11" s="17">
        <f t="shared" si="0"/>
        <v>225</v>
      </c>
      <c r="H11" s="17">
        <f t="shared" si="1"/>
        <v>139</v>
      </c>
      <c r="I11" s="17">
        <f>住房保障任务资金!S10</f>
        <v>107</v>
      </c>
      <c r="J11" s="17">
        <f>危旧房任务资金!F9</f>
        <v>0</v>
      </c>
      <c r="K11" s="17">
        <f t="shared" si="2"/>
        <v>118</v>
      </c>
      <c r="L11" s="5">
        <f t="shared" si="3"/>
        <v>139</v>
      </c>
    </row>
    <row r="12" ht="19.5" customHeight="true" spans="1:12">
      <c r="A12" s="5">
        <v>7</v>
      </c>
      <c r="B12" s="3" t="s">
        <v>27</v>
      </c>
      <c r="C12" s="5">
        <f>住房保障任务资金!R11</f>
        <v>298</v>
      </c>
      <c r="D12" s="5">
        <f>危旧房任务资金!E10</f>
        <v>0</v>
      </c>
      <c r="E12" s="5">
        <f>住房保障奖励资金!I10</f>
        <v>23</v>
      </c>
      <c r="F12" s="5">
        <f>危旧房奖励资金!I10</f>
        <v>595</v>
      </c>
      <c r="G12" s="17">
        <f t="shared" si="0"/>
        <v>321</v>
      </c>
      <c r="H12" s="17">
        <f t="shared" si="1"/>
        <v>595</v>
      </c>
      <c r="I12" s="17">
        <f>住房保障任务资金!S11</f>
        <v>152</v>
      </c>
      <c r="J12" s="17">
        <f>危旧房任务资金!F10</f>
        <v>0</v>
      </c>
      <c r="K12" s="17">
        <f t="shared" si="2"/>
        <v>169</v>
      </c>
      <c r="L12" s="5">
        <f t="shared" si="3"/>
        <v>595</v>
      </c>
    </row>
    <row r="13" ht="19.5" customHeight="true" spans="1:12">
      <c r="A13" s="5">
        <v>8</v>
      </c>
      <c r="B13" s="3" t="s">
        <v>28</v>
      </c>
      <c r="C13" s="5">
        <f>住房保障任务资金!R12</f>
        <v>6265</v>
      </c>
      <c r="D13" s="5">
        <f>危旧房任务资金!E11</f>
        <v>0</v>
      </c>
      <c r="E13" s="5">
        <f>住房保障奖励资金!I11</f>
        <v>321</v>
      </c>
      <c r="F13" s="5">
        <f>危旧房奖励资金!I11</f>
        <v>190</v>
      </c>
      <c r="G13" s="17">
        <f t="shared" si="0"/>
        <v>6586</v>
      </c>
      <c r="H13" s="17">
        <f t="shared" si="1"/>
        <v>190</v>
      </c>
      <c r="I13" s="17">
        <f>住房保障任务资金!S12</f>
        <v>2714</v>
      </c>
      <c r="J13" s="17">
        <f>危旧房任务资金!F11</f>
        <v>0</v>
      </c>
      <c r="K13" s="17">
        <f t="shared" si="2"/>
        <v>3872</v>
      </c>
      <c r="L13" s="5">
        <f t="shared" si="3"/>
        <v>190</v>
      </c>
    </row>
    <row r="14" ht="19.5" customHeight="true" spans="1:12">
      <c r="A14" s="5">
        <v>9</v>
      </c>
      <c r="B14" s="3" t="s">
        <v>29</v>
      </c>
      <c r="C14" s="5">
        <f>住房保障任务资金!R13</f>
        <v>858</v>
      </c>
      <c r="D14" s="5">
        <f>危旧房任务资金!E12</f>
        <v>0</v>
      </c>
      <c r="E14" s="5">
        <f>住房保障奖励资金!I12</f>
        <v>60</v>
      </c>
      <c r="F14" s="5">
        <f>危旧房奖励资金!I12</f>
        <v>0</v>
      </c>
      <c r="G14" s="17">
        <f t="shared" si="0"/>
        <v>918</v>
      </c>
      <c r="H14" s="17">
        <f t="shared" si="1"/>
        <v>0</v>
      </c>
      <c r="I14" s="17">
        <f>住房保障任务资金!S13</f>
        <v>438</v>
      </c>
      <c r="J14" s="17">
        <f>危旧房任务资金!F12</f>
        <v>0</v>
      </c>
      <c r="K14" s="17">
        <f t="shared" si="2"/>
        <v>480</v>
      </c>
      <c r="L14" s="5">
        <f t="shared" si="3"/>
        <v>0</v>
      </c>
    </row>
    <row r="15" ht="19.5" customHeight="true" spans="1:12">
      <c r="A15" s="5">
        <v>10</v>
      </c>
      <c r="B15" s="3" t="s">
        <v>30</v>
      </c>
      <c r="C15" s="5">
        <f>住房保障任务资金!R14</f>
        <v>19240</v>
      </c>
      <c r="D15" s="5">
        <f>危旧房任务资金!E13</f>
        <v>0</v>
      </c>
      <c r="E15" s="5">
        <f>住房保障奖励资金!I13</f>
        <v>1102</v>
      </c>
      <c r="F15" s="5">
        <f>危旧房奖励资金!I13</f>
        <v>5897</v>
      </c>
      <c r="G15" s="17">
        <f t="shared" si="0"/>
        <v>20342</v>
      </c>
      <c r="H15" s="17">
        <f t="shared" si="1"/>
        <v>5897</v>
      </c>
      <c r="I15" s="17">
        <f>住房保障任务资金!S14</f>
        <v>9030</v>
      </c>
      <c r="J15" s="17">
        <f>危旧房任务资金!F13</f>
        <v>0</v>
      </c>
      <c r="K15" s="17">
        <f t="shared" si="2"/>
        <v>11312</v>
      </c>
      <c r="L15" s="5">
        <f t="shared" si="3"/>
        <v>5897</v>
      </c>
    </row>
    <row r="16" ht="19.5" customHeight="true" spans="1:12">
      <c r="A16" s="5">
        <v>11</v>
      </c>
      <c r="B16" s="3" t="s">
        <v>31</v>
      </c>
      <c r="C16" s="5">
        <f>住房保障任务资金!R15</f>
        <v>11896</v>
      </c>
      <c r="D16" s="5">
        <f>危旧房任务资金!E14</f>
        <v>0</v>
      </c>
      <c r="E16" s="5">
        <f>住房保障奖励资金!I14</f>
        <v>602</v>
      </c>
      <c r="F16" s="5">
        <f>危旧房奖励资金!I14</f>
        <v>14</v>
      </c>
      <c r="G16" s="17">
        <f t="shared" si="0"/>
        <v>12498</v>
      </c>
      <c r="H16" s="17">
        <f t="shared" si="1"/>
        <v>14</v>
      </c>
      <c r="I16" s="17">
        <f>住房保障任务资金!S15</f>
        <v>5185</v>
      </c>
      <c r="J16" s="17">
        <f>危旧房任务资金!F14</f>
        <v>0</v>
      </c>
      <c r="K16" s="17">
        <f t="shared" si="2"/>
        <v>7313</v>
      </c>
      <c r="L16" s="5">
        <f t="shared" si="3"/>
        <v>14</v>
      </c>
    </row>
    <row r="17" ht="19.5" customHeight="true" spans="1:12">
      <c r="A17" s="5">
        <v>12</v>
      </c>
      <c r="B17" s="3" t="s">
        <v>32</v>
      </c>
      <c r="C17" s="5">
        <f>住房保障任务资金!R16</f>
        <v>4606</v>
      </c>
      <c r="D17" s="5">
        <f>危旧房任务资金!E15</f>
        <v>59</v>
      </c>
      <c r="E17" s="5">
        <f>住房保障奖励资金!I15</f>
        <v>239</v>
      </c>
      <c r="F17" s="5">
        <f>危旧房奖励资金!I15</f>
        <v>52</v>
      </c>
      <c r="G17" s="17">
        <f t="shared" si="0"/>
        <v>4845</v>
      </c>
      <c r="H17" s="17">
        <f t="shared" si="1"/>
        <v>111</v>
      </c>
      <c r="I17" s="17">
        <f>住房保障任务资金!S16</f>
        <v>2008</v>
      </c>
      <c r="J17" s="17">
        <f>危旧房任务资金!F15</f>
        <v>128</v>
      </c>
      <c r="K17" s="17">
        <f t="shared" si="2"/>
        <v>2837</v>
      </c>
      <c r="L17" s="5">
        <f t="shared" si="3"/>
        <v>-17</v>
      </c>
    </row>
    <row r="18" ht="19.5" customHeight="true" spans="1:12">
      <c r="A18" s="5">
        <v>13</v>
      </c>
      <c r="B18" s="3" t="s">
        <v>33</v>
      </c>
      <c r="C18" s="5">
        <f>住房保障任务资金!R17</f>
        <v>201</v>
      </c>
      <c r="D18" s="5">
        <f>危旧房任务资金!E16</f>
        <v>0</v>
      </c>
      <c r="E18" s="5">
        <f>住房保障奖励资金!I16</f>
        <v>17</v>
      </c>
      <c r="F18" s="5">
        <f>危旧房奖励资金!I16</f>
        <v>223</v>
      </c>
      <c r="G18" s="17">
        <f t="shared" si="0"/>
        <v>218</v>
      </c>
      <c r="H18" s="17">
        <f t="shared" si="1"/>
        <v>223</v>
      </c>
      <c r="I18" s="17">
        <f>住房保障任务资金!S17</f>
        <v>103</v>
      </c>
      <c r="J18" s="17">
        <f>危旧房任务资金!F16</f>
        <v>0</v>
      </c>
      <c r="K18" s="17">
        <f t="shared" si="2"/>
        <v>115</v>
      </c>
      <c r="L18" s="5">
        <f t="shared" si="3"/>
        <v>223</v>
      </c>
    </row>
    <row r="19" ht="19.5" customHeight="true" spans="1:12">
      <c r="A19" s="5">
        <v>14</v>
      </c>
      <c r="B19" s="3" t="s">
        <v>34</v>
      </c>
      <c r="C19" s="5">
        <f>住房保障任务资金!R18</f>
        <v>5335</v>
      </c>
      <c r="D19" s="5">
        <f>危旧房任务资金!E17</f>
        <v>0</v>
      </c>
      <c r="E19" s="5">
        <f>住房保障奖励资金!I17</f>
        <v>290</v>
      </c>
      <c r="F19" s="5">
        <f>危旧房奖励资金!I17</f>
        <v>14</v>
      </c>
      <c r="G19" s="17">
        <f t="shared" si="0"/>
        <v>5625</v>
      </c>
      <c r="H19" s="17">
        <f t="shared" si="1"/>
        <v>14</v>
      </c>
      <c r="I19" s="17">
        <f>住房保障任务资金!S18</f>
        <v>2367</v>
      </c>
      <c r="J19" s="17">
        <f>危旧房任务资金!F17</f>
        <v>0</v>
      </c>
      <c r="K19" s="17">
        <f t="shared" si="2"/>
        <v>3258</v>
      </c>
      <c r="L19" s="5">
        <f t="shared" si="3"/>
        <v>14</v>
      </c>
    </row>
    <row r="20" ht="19.5" customHeight="true" spans="1:12">
      <c r="A20" s="5">
        <v>15</v>
      </c>
      <c r="B20" s="3" t="s">
        <v>35</v>
      </c>
      <c r="C20" s="5">
        <f>住房保障任务资金!R19</f>
        <v>1927</v>
      </c>
      <c r="D20" s="5">
        <f>危旧房任务资金!E18</f>
        <v>0</v>
      </c>
      <c r="E20" s="5">
        <f>住房保障奖励资金!I18</f>
        <v>138</v>
      </c>
      <c r="F20" s="5">
        <f>危旧房奖励资金!I18</f>
        <v>42</v>
      </c>
      <c r="G20" s="17">
        <f t="shared" si="0"/>
        <v>2065</v>
      </c>
      <c r="H20" s="17">
        <f t="shared" si="1"/>
        <v>42</v>
      </c>
      <c r="I20" s="17">
        <f>住房保障任务资金!S19</f>
        <v>757</v>
      </c>
      <c r="J20" s="17">
        <f>危旧房任务资金!F18</f>
        <v>0</v>
      </c>
      <c r="K20" s="17">
        <f t="shared" si="2"/>
        <v>1308</v>
      </c>
      <c r="L20" s="5">
        <f t="shared" si="3"/>
        <v>42</v>
      </c>
    </row>
    <row r="21" ht="19.5" customHeight="true" spans="1:12">
      <c r="A21" s="5">
        <v>16</v>
      </c>
      <c r="B21" s="3" t="s">
        <v>36</v>
      </c>
      <c r="C21" s="5">
        <f>住房保障任务资金!R20</f>
        <v>2761</v>
      </c>
      <c r="D21" s="5">
        <f>危旧房任务资金!E19</f>
        <v>35</v>
      </c>
      <c r="E21" s="5">
        <f>住房保障奖励资金!I19</f>
        <v>176</v>
      </c>
      <c r="F21" s="5">
        <f>危旧房奖励资金!I19</f>
        <v>32</v>
      </c>
      <c r="G21" s="17">
        <f t="shared" si="0"/>
        <v>2937</v>
      </c>
      <c r="H21" s="17">
        <f t="shared" si="1"/>
        <v>67</v>
      </c>
      <c r="I21" s="17">
        <f>住房保障任务资金!S20</f>
        <v>930</v>
      </c>
      <c r="J21" s="17">
        <f>危旧房任务资金!F19</f>
        <v>0</v>
      </c>
      <c r="K21" s="17">
        <f t="shared" si="2"/>
        <v>2007</v>
      </c>
      <c r="L21" s="5">
        <f t="shared" si="3"/>
        <v>67</v>
      </c>
    </row>
    <row r="22" ht="19.5" customHeight="true" spans="1:12">
      <c r="A22" s="5">
        <v>17</v>
      </c>
      <c r="B22" s="3" t="s">
        <v>37</v>
      </c>
      <c r="C22" s="5">
        <f>住房保障任务资金!R21</f>
        <v>1406</v>
      </c>
      <c r="D22" s="5">
        <f>危旧房任务资金!E20</f>
        <v>0</v>
      </c>
      <c r="E22" s="5">
        <f>住房保障奖励资金!I20</f>
        <v>130</v>
      </c>
      <c r="F22" s="5">
        <f>危旧房奖励资金!I20</f>
        <v>177</v>
      </c>
      <c r="G22" s="17">
        <f t="shared" si="0"/>
        <v>1536</v>
      </c>
      <c r="H22" s="17">
        <f t="shared" si="1"/>
        <v>177</v>
      </c>
      <c r="I22" s="17">
        <f>住房保障任务资金!S21</f>
        <v>686</v>
      </c>
      <c r="J22" s="17">
        <f>危旧房任务资金!F20</f>
        <v>0</v>
      </c>
      <c r="K22" s="17">
        <f t="shared" si="2"/>
        <v>850</v>
      </c>
      <c r="L22" s="5">
        <f t="shared" si="3"/>
        <v>177</v>
      </c>
    </row>
    <row r="23" ht="19.5" customHeight="true" spans="1:17">
      <c r="A23" s="5">
        <v>18</v>
      </c>
      <c r="B23" s="3" t="s">
        <v>38</v>
      </c>
      <c r="C23" s="5">
        <f>住房保障任务资金!R22</f>
        <v>218</v>
      </c>
      <c r="D23" s="5">
        <f>危旧房任务资金!E21</f>
        <v>19</v>
      </c>
      <c r="E23" s="5">
        <f>住房保障奖励资金!I21</f>
        <v>15</v>
      </c>
      <c r="F23" s="5">
        <f>危旧房奖励资金!I21</f>
        <v>31</v>
      </c>
      <c r="G23" s="17">
        <f t="shared" si="0"/>
        <v>233</v>
      </c>
      <c r="H23" s="17">
        <f t="shared" si="1"/>
        <v>50</v>
      </c>
      <c r="I23" s="17">
        <f>住房保障任务资金!S22</f>
        <v>111</v>
      </c>
      <c r="J23" s="17">
        <f>危旧房任务资金!F21</f>
        <v>42</v>
      </c>
      <c r="K23" s="17">
        <f t="shared" si="2"/>
        <v>122</v>
      </c>
      <c r="L23" s="5">
        <f t="shared" si="3"/>
        <v>8</v>
      </c>
      <c r="M23" s="25"/>
      <c r="N23" s="25"/>
      <c r="O23" s="25"/>
      <c r="P23" s="25"/>
      <c r="Q23" s="25"/>
    </row>
    <row r="24" ht="19.5" customHeight="true" spans="1:17">
      <c r="A24" s="5">
        <v>19</v>
      </c>
      <c r="B24" s="3" t="s">
        <v>39</v>
      </c>
      <c r="C24" s="5">
        <f>住房保障任务资金!R23</f>
        <v>117</v>
      </c>
      <c r="D24" s="5">
        <f>危旧房任务资金!E22</f>
        <v>0</v>
      </c>
      <c r="E24" s="5">
        <f>住房保障奖励资金!I22</f>
        <v>7</v>
      </c>
      <c r="F24" s="5">
        <f>危旧房奖励资金!I22</f>
        <v>74</v>
      </c>
      <c r="G24" s="17">
        <f t="shared" si="0"/>
        <v>124</v>
      </c>
      <c r="H24" s="17">
        <f t="shared" si="1"/>
        <v>74</v>
      </c>
      <c r="I24" s="17">
        <f>住房保障任务资金!S23</f>
        <v>0</v>
      </c>
      <c r="J24" s="17">
        <f>危旧房任务资金!F22</f>
        <v>0</v>
      </c>
      <c r="K24" s="17">
        <f t="shared" si="2"/>
        <v>124</v>
      </c>
      <c r="L24" s="5">
        <f t="shared" si="3"/>
        <v>74</v>
      </c>
      <c r="M24" s="25"/>
      <c r="N24" s="25"/>
      <c r="O24" s="25"/>
      <c r="P24" s="25"/>
      <c r="Q24" s="25"/>
    </row>
    <row r="25" ht="19.5" customHeight="true" spans="1:17">
      <c r="A25" s="5">
        <v>20</v>
      </c>
      <c r="B25" s="3" t="s">
        <v>40</v>
      </c>
      <c r="C25" s="5">
        <f>住房保障任务资金!R24</f>
        <v>328</v>
      </c>
      <c r="D25" s="5">
        <f>危旧房任务资金!E23</f>
        <v>0</v>
      </c>
      <c r="E25" s="5">
        <f>住房保障奖励资金!I23</f>
        <v>23</v>
      </c>
      <c r="F25" s="5">
        <f>危旧房奖励资金!I23</f>
        <v>79</v>
      </c>
      <c r="G25" s="17">
        <f t="shared" si="0"/>
        <v>351</v>
      </c>
      <c r="H25" s="17">
        <f t="shared" si="1"/>
        <v>79</v>
      </c>
      <c r="I25" s="17">
        <f>住房保障任务资金!S24</f>
        <v>194</v>
      </c>
      <c r="J25" s="17">
        <f>危旧房任务资金!F23</f>
        <v>0</v>
      </c>
      <c r="K25" s="17">
        <f t="shared" si="2"/>
        <v>157</v>
      </c>
      <c r="L25" s="5">
        <f t="shared" si="3"/>
        <v>79</v>
      </c>
      <c r="M25" s="25"/>
      <c r="N25" s="25"/>
      <c r="O25" s="25"/>
      <c r="P25" s="25"/>
      <c r="Q25" s="25"/>
    </row>
    <row r="26" ht="19.5" customHeight="true" spans="1:17">
      <c r="A26" s="20" t="s">
        <v>41</v>
      </c>
      <c r="B26" s="20"/>
      <c r="C26" s="1">
        <f>SUM(C6:C25)</f>
        <v>220858</v>
      </c>
      <c r="D26" s="1">
        <f t="shared" ref="D26:L26" si="4">SUM(D6:D25)</f>
        <v>662</v>
      </c>
      <c r="E26" s="1">
        <f t="shared" si="4"/>
        <v>14274</v>
      </c>
      <c r="F26" s="1">
        <f t="shared" si="4"/>
        <v>9516</v>
      </c>
      <c r="G26" s="29">
        <f t="shared" si="4"/>
        <v>235132</v>
      </c>
      <c r="H26" s="29">
        <f t="shared" si="4"/>
        <v>10178</v>
      </c>
      <c r="I26" s="29">
        <f t="shared" si="4"/>
        <v>113736</v>
      </c>
      <c r="J26" s="29">
        <f t="shared" si="4"/>
        <v>497</v>
      </c>
      <c r="K26" s="29">
        <f t="shared" si="4"/>
        <v>121396</v>
      </c>
      <c r="L26" s="1">
        <f t="shared" si="4"/>
        <v>9681</v>
      </c>
      <c r="M26" s="25"/>
      <c r="N26" s="25"/>
      <c r="O26" s="25"/>
      <c r="P26" s="25"/>
      <c r="Q26" s="25"/>
    </row>
    <row r="27" spans="2:12">
      <c r="B27" s="39" t="s">
        <v>42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</row>
  </sheetData>
  <mergeCells count="10">
    <mergeCell ref="A1:L1"/>
    <mergeCell ref="C3:D3"/>
    <mergeCell ref="E3:F3"/>
    <mergeCell ref="G3:H3"/>
    <mergeCell ref="I3:J3"/>
    <mergeCell ref="K3:L3"/>
    <mergeCell ref="A26:B26"/>
    <mergeCell ref="B27:L27"/>
    <mergeCell ref="A3:A4"/>
    <mergeCell ref="B3:B4"/>
  </mergeCells>
  <pageMargins left="0.78740157480315" right="0.78740157480315" top="0.393700787401575" bottom="0.393700787401575" header="0.196850393700787" footer="0.196850393700787"/>
  <pageSetup paperSize="9" scale="7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6"/>
  <sheetViews>
    <sheetView workbookViewId="0">
      <selection activeCell="X11" sqref="X11"/>
    </sheetView>
  </sheetViews>
  <sheetFormatPr defaultColWidth="9" defaultRowHeight="14.25"/>
  <cols>
    <col min="1" max="1" width="8.62666666666667" style="6" customWidth="true"/>
    <col min="2" max="2" width="7.62666666666667" style="6" customWidth="true"/>
    <col min="3" max="4" width="11.6266666666667" style="31" customWidth="true"/>
    <col min="5" max="5" width="10.6266666666667" style="6" hidden="true" customWidth="true"/>
    <col min="6" max="6" width="6.62666666666667" style="6" customWidth="true"/>
    <col min="7" max="9" width="9.62666666666667" style="6" customWidth="true"/>
    <col min="10" max="10" width="7.62666666666667" style="31" customWidth="true"/>
    <col min="11" max="11" width="5.62666666666667" style="6" hidden="true" customWidth="true"/>
    <col min="12" max="12" width="6.62666666666667" style="6" customWidth="true"/>
    <col min="13" max="13" width="9.62666666666667" style="6" customWidth="true"/>
    <col min="14" max="14" width="7.62666666666667" style="31" customWidth="true"/>
    <col min="15" max="15" width="6.62666666666667" style="6" hidden="true" customWidth="true"/>
    <col min="16" max="16" width="6.62666666666667" style="6" customWidth="true"/>
    <col min="17" max="18" width="9.62666666666667" style="6" customWidth="true"/>
    <col min="19" max="19" width="10.6266666666667" style="6" customWidth="true"/>
    <col min="20" max="20" width="9.62666666666667" style="6" customWidth="true"/>
    <col min="21" max="16384" width="9" style="6"/>
  </cols>
  <sheetData>
    <row r="1" ht="42" customHeight="true" spans="1:20">
      <c r="A1" s="27" t="s">
        <v>43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ht="18" customHeight="true" spans="1:20">
      <c r="A2" s="27"/>
      <c r="B2" s="28"/>
      <c r="C2" s="34"/>
      <c r="D2" s="34"/>
      <c r="E2" s="28"/>
      <c r="F2" s="28"/>
      <c r="G2" s="28"/>
      <c r="H2" s="28"/>
      <c r="I2" s="28"/>
      <c r="J2" s="34"/>
      <c r="K2" s="28"/>
      <c r="L2" s="28"/>
      <c r="M2" s="28"/>
      <c r="N2" s="34"/>
      <c r="O2" s="28"/>
      <c r="P2" s="28"/>
      <c r="Q2" s="28"/>
      <c r="R2" s="28"/>
      <c r="S2" s="28"/>
      <c r="T2" s="22" t="s">
        <v>1</v>
      </c>
    </row>
    <row r="3" ht="18" customHeight="true" spans="1:20">
      <c r="A3" s="2" t="s">
        <v>3</v>
      </c>
      <c r="B3" s="2" t="s">
        <v>44</v>
      </c>
      <c r="C3" s="2" t="s">
        <v>45</v>
      </c>
      <c r="D3" s="2"/>
      <c r="E3" s="2"/>
      <c r="F3" s="2"/>
      <c r="G3" s="2"/>
      <c r="H3" s="2"/>
      <c r="I3" s="2"/>
      <c r="J3" s="2" t="s">
        <v>46</v>
      </c>
      <c r="K3" s="2"/>
      <c r="L3" s="2"/>
      <c r="M3" s="2"/>
      <c r="N3" s="2" t="s">
        <v>47</v>
      </c>
      <c r="O3" s="2"/>
      <c r="P3" s="2"/>
      <c r="Q3" s="2"/>
      <c r="R3" s="2" t="s">
        <v>48</v>
      </c>
      <c r="S3" s="2" t="s">
        <v>49</v>
      </c>
      <c r="T3" s="2" t="s">
        <v>50</v>
      </c>
    </row>
    <row r="4" ht="45" customHeight="true" spans="1:20">
      <c r="A4" s="2"/>
      <c r="B4" s="2"/>
      <c r="C4" s="35" t="s">
        <v>51</v>
      </c>
      <c r="D4" s="35" t="s">
        <v>52</v>
      </c>
      <c r="E4" s="2" t="s">
        <v>53</v>
      </c>
      <c r="F4" s="2" t="s">
        <v>54</v>
      </c>
      <c r="G4" s="2" t="s">
        <v>55</v>
      </c>
      <c r="H4" s="2" t="s">
        <v>56</v>
      </c>
      <c r="I4" s="2" t="s">
        <v>57</v>
      </c>
      <c r="J4" s="35" t="s">
        <v>58</v>
      </c>
      <c r="K4" s="2" t="s">
        <v>53</v>
      </c>
      <c r="L4" s="2" t="s">
        <v>54</v>
      </c>
      <c r="M4" s="2" t="s">
        <v>55</v>
      </c>
      <c r="N4" s="35" t="s">
        <v>59</v>
      </c>
      <c r="O4" s="2" t="s">
        <v>53</v>
      </c>
      <c r="P4" s="2" t="s">
        <v>54</v>
      </c>
      <c r="Q4" s="2" t="s">
        <v>55</v>
      </c>
      <c r="R4" s="2"/>
      <c r="S4" s="2"/>
      <c r="T4" s="2"/>
    </row>
    <row r="5" ht="18" customHeight="true" spans="1:20">
      <c r="A5" s="3" t="s">
        <v>21</v>
      </c>
      <c r="B5" s="5" t="str">
        <f>财力系数!C2</f>
        <v>0.7</v>
      </c>
      <c r="C5" s="17">
        <v>100000</v>
      </c>
      <c r="D5" s="17">
        <v>8000</v>
      </c>
      <c r="E5" s="5">
        <f>(C5+D5)*B5</f>
        <v>75600</v>
      </c>
      <c r="F5" s="36">
        <v>0.833</v>
      </c>
      <c r="G5" s="5">
        <f>ROUND(E5/$E$25*F5*220858,0)</f>
        <v>97941</v>
      </c>
      <c r="H5" s="5">
        <f>ROUND(G5/(C5+D5)*C5,0)</f>
        <v>90686</v>
      </c>
      <c r="I5" s="5">
        <f>ROUND(G5/(C5+D5)*D5,0)</f>
        <v>7255</v>
      </c>
      <c r="J5" s="17">
        <v>1500</v>
      </c>
      <c r="K5" s="5">
        <f>J5*B5</f>
        <v>1050</v>
      </c>
      <c r="L5" s="36">
        <v>0.012</v>
      </c>
      <c r="M5" s="5">
        <f>ROUND(K5/$K$25*L5*220858,0)-1</f>
        <v>1426</v>
      </c>
      <c r="N5" s="17">
        <v>19000</v>
      </c>
      <c r="O5" s="5">
        <f>N5*B5</f>
        <v>13300</v>
      </c>
      <c r="P5" s="36">
        <v>0.155</v>
      </c>
      <c r="Q5" s="5">
        <f>ROUND(O5/$O$25*P5*220858,0)</f>
        <v>11208</v>
      </c>
      <c r="R5" s="5">
        <f>G5+M5+Q5</f>
        <v>110575</v>
      </c>
      <c r="S5" s="5">
        <v>63366</v>
      </c>
      <c r="T5" s="5">
        <f>R5-S5</f>
        <v>47209</v>
      </c>
    </row>
    <row r="6" ht="18" customHeight="true" spans="1:20">
      <c r="A6" s="3" t="s">
        <v>22</v>
      </c>
      <c r="B6" s="5" t="str">
        <f>财力系数!C4</f>
        <v>0.9</v>
      </c>
      <c r="C6" s="17">
        <v>18700</v>
      </c>
      <c r="D6" s="17">
        <v>3837</v>
      </c>
      <c r="E6" s="5">
        <f t="shared" ref="E6:E24" si="0">C6*B6</f>
        <v>16830</v>
      </c>
      <c r="F6" s="36">
        <v>0.833</v>
      </c>
      <c r="G6" s="5">
        <f t="shared" ref="G6:G24" si="1">ROUND(E6/$E$25*F6*220858,0)</f>
        <v>21804</v>
      </c>
      <c r="H6" s="5">
        <f>G6</f>
        <v>21804</v>
      </c>
      <c r="I6" s="5">
        <v>0</v>
      </c>
      <c r="J6" s="17">
        <v>0</v>
      </c>
      <c r="K6" s="5">
        <f t="shared" ref="K6:K24" si="2">J6*B6</f>
        <v>0</v>
      </c>
      <c r="L6" s="36">
        <v>0.012</v>
      </c>
      <c r="M6" s="5">
        <f t="shared" ref="M6:M24" si="3">ROUND(K6/$K$25*L6*220858,0)</f>
        <v>0</v>
      </c>
      <c r="N6" s="17">
        <v>1000</v>
      </c>
      <c r="O6" s="5">
        <f t="shared" ref="O6:O24" si="4">N6*B6</f>
        <v>900</v>
      </c>
      <c r="P6" s="36">
        <v>0.155</v>
      </c>
      <c r="Q6" s="5">
        <f t="shared" ref="Q6:Q24" si="5">ROUND(O6/$O$25*P6*220858,0)</f>
        <v>758</v>
      </c>
      <c r="R6" s="5">
        <f t="shared" ref="R6:R24" si="6">G6+M6+Q6</f>
        <v>22562</v>
      </c>
      <c r="S6" s="5">
        <v>9857</v>
      </c>
      <c r="T6" s="5">
        <f t="shared" ref="T6:T24" si="7">R6-S6</f>
        <v>12705</v>
      </c>
    </row>
    <row r="7" ht="18" customHeight="true" spans="1:20">
      <c r="A7" s="3" t="s">
        <v>23</v>
      </c>
      <c r="B7" s="5" t="str">
        <f>财力系数!C5</f>
        <v>1.1</v>
      </c>
      <c r="C7" s="17">
        <v>1000</v>
      </c>
      <c r="D7" s="17">
        <v>420</v>
      </c>
      <c r="E7" s="5">
        <f t="shared" si="0"/>
        <v>1100</v>
      </c>
      <c r="F7" s="36">
        <v>0.833</v>
      </c>
      <c r="G7" s="5">
        <f t="shared" si="1"/>
        <v>1425</v>
      </c>
      <c r="H7" s="5">
        <f t="shared" ref="H7:H11" si="8">G7</f>
        <v>1425</v>
      </c>
      <c r="I7" s="5">
        <v>0</v>
      </c>
      <c r="J7" s="17">
        <v>0</v>
      </c>
      <c r="K7" s="5">
        <f t="shared" si="2"/>
        <v>0</v>
      </c>
      <c r="L7" s="36">
        <v>0.012</v>
      </c>
      <c r="M7" s="5">
        <f t="shared" si="3"/>
        <v>0</v>
      </c>
      <c r="N7" s="17">
        <v>2011</v>
      </c>
      <c r="O7" s="5">
        <f t="shared" si="4"/>
        <v>2212.1</v>
      </c>
      <c r="P7" s="36">
        <v>0.155</v>
      </c>
      <c r="Q7" s="5">
        <f t="shared" si="5"/>
        <v>1864</v>
      </c>
      <c r="R7" s="5">
        <f t="shared" si="6"/>
        <v>3289</v>
      </c>
      <c r="S7" s="5">
        <v>1653</v>
      </c>
      <c r="T7" s="5">
        <f t="shared" si="7"/>
        <v>1636</v>
      </c>
    </row>
    <row r="8" ht="18" customHeight="true" spans="1:20">
      <c r="A8" s="3" t="s">
        <v>24</v>
      </c>
      <c r="B8" s="5" t="str">
        <f>财力系数!C6</f>
        <v>0.9</v>
      </c>
      <c r="C8" s="17">
        <v>13768</v>
      </c>
      <c r="D8" s="17">
        <v>0</v>
      </c>
      <c r="E8" s="5">
        <f t="shared" si="0"/>
        <v>12391.2</v>
      </c>
      <c r="F8" s="36">
        <v>0.833</v>
      </c>
      <c r="G8" s="5">
        <f t="shared" si="1"/>
        <v>16053</v>
      </c>
      <c r="H8" s="5">
        <f t="shared" si="8"/>
        <v>16053</v>
      </c>
      <c r="I8" s="5">
        <v>0</v>
      </c>
      <c r="J8" s="17">
        <v>500</v>
      </c>
      <c r="K8" s="5">
        <f t="shared" si="2"/>
        <v>450</v>
      </c>
      <c r="L8" s="36">
        <v>0.012</v>
      </c>
      <c r="M8" s="5">
        <f t="shared" si="3"/>
        <v>612</v>
      </c>
      <c r="N8" s="17">
        <v>15825</v>
      </c>
      <c r="O8" s="5">
        <f t="shared" si="4"/>
        <v>14242.5</v>
      </c>
      <c r="P8" s="36">
        <v>0.155</v>
      </c>
      <c r="Q8" s="5">
        <f t="shared" si="5"/>
        <v>12003</v>
      </c>
      <c r="R8" s="5">
        <f t="shared" si="6"/>
        <v>28668</v>
      </c>
      <c r="S8" s="5">
        <v>14034</v>
      </c>
      <c r="T8" s="5">
        <f t="shared" si="7"/>
        <v>14634</v>
      </c>
    </row>
    <row r="9" ht="18" customHeight="true" spans="1:20">
      <c r="A9" s="3" t="s">
        <v>25</v>
      </c>
      <c r="B9" s="5" t="str">
        <f>财力系数!C7</f>
        <v>1</v>
      </c>
      <c r="C9" s="17">
        <v>0</v>
      </c>
      <c r="D9" s="17">
        <v>0</v>
      </c>
      <c r="E9" s="5">
        <f>(C9+D9)*B9</f>
        <v>0</v>
      </c>
      <c r="F9" s="36">
        <v>0.833</v>
      </c>
      <c r="G9" s="5">
        <f t="shared" si="1"/>
        <v>0</v>
      </c>
      <c r="H9" s="5">
        <f t="shared" si="8"/>
        <v>0</v>
      </c>
      <c r="I9" s="5">
        <f>G9</f>
        <v>0</v>
      </c>
      <c r="J9" s="17">
        <v>0</v>
      </c>
      <c r="K9" s="5">
        <f t="shared" si="2"/>
        <v>0</v>
      </c>
      <c r="L9" s="36">
        <v>0.012</v>
      </c>
      <c r="M9" s="5">
        <f t="shared" si="3"/>
        <v>0</v>
      </c>
      <c r="N9" s="17">
        <v>113</v>
      </c>
      <c r="O9" s="5">
        <f t="shared" si="4"/>
        <v>113</v>
      </c>
      <c r="P9" s="36">
        <v>0.155</v>
      </c>
      <c r="Q9" s="5">
        <f t="shared" si="5"/>
        <v>95</v>
      </c>
      <c r="R9" s="5">
        <f t="shared" si="6"/>
        <v>95</v>
      </c>
      <c r="S9" s="5">
        <v>44</v>
      </c>
      <c r="T9" s="5">
        <f t="shared" si="7"/>
        <v>51</v>
      </c>
    </row>
    <row r="10" ht="18" customHeight="true" spans="1:20">
      <c r="A10" s="3" t="s">
        <v>26</v>
      </c>
      <c r="B10" s="5" t="str">
        <f>财力系数!C8</f>
        <v>1.1</v>
      </c>
      <c r="C10" s="17">
        <v>0</v>
      </c>
      <c r="D10" s="17">
        <v>180</v>
      </c>
      <c r="E10" s="5">
        <f t="shared" si="0"/>
        <v>0</v>
      </c>
      <c r="F10" s="36">
        <v>0.833</v>
      </c>
      <c r="G10" s="5">
        <f t="shared" si="1"/>
        <v>0</v>
      </c>
      <c r="H10" s="5">
        <f t="shared" si="8"/>
        <v>0</v>
      </c>
      <c r="I10" s="5">
        <f t="shared" ref="I10:I11" si="9">G10</f>
        <v>0</v>
      </c>
      <c r="J10" s="17">
        <v>0</v>
      </c>
      <c r="K10" s="5">
        <f t="shared" si="2"/>
        <v>0</v>
      </c>
      <c r="L10" s="36">
        <v>0.012</v>
      </c>
      <c r="M10" s="5">
        <f t="shared" si="3"/>
        <v>0</v>
      </c>
      <c r="N10" s="17">
        <v>230</v>
      </c>
      <c r="O10" s="5">
        <f t="shared" si="4"/>
        <v>253</v>
      </c>
      <c r="P10" s="36">
        <v>0.155</v>
      </c>
      <c r="Q10" s="5">
        <f t="shared" si="5"/>
        <v>213</v>
      </c>
      <c r="R10" s="5">
        <f t="shared" si="6"/>
        <v>213</v>
      </c>
      <c r="S10" s="5">
        <v>107</v>
      </c>
      <c r="T10" s="5">
        <f t="shared" si="7"/>
        <v>106</v>
      </c>
    </row>
    <row r="11" ht="18" customHeight="true" spans="1:20">
      <c r="A11" s="3" t="s">
        <v>27</v>
      </c>
      <c r="B11" s="5" t="str">
        <f>财力系数!C9</f>
        <v>1</v>
      </c>
      <c r="C11" s="17">
        <v>0</v>
      </c>
      <c r="D11" s="17">
        <v>200</v>
      </c>
      <c r="E11" s="5">
        <f t="shared" si="0"/>
        <v>0</v>
      </c>
      <c r="F11" s="36">
        <v>0.833</v>
      </c>
      <c r="G11" s="5">
        <f t="shared" si="1"/>
        <v>0</v>
      </c>
      <c r="H11" s="5">
        <f t="shared" si="8"/>
        <v>0</v>
      </c>
      <c r="I11" s="5">
        <f t="shared" si="9"/>
        <v>0</v>
      </c>
      <c r="J11" s="17">
        <v>0</v>
      </c>
      <c r="K11" s="5">
        <f t="shared" si="2"/>
        <v>0</v>
      </c>
      <c r="L11" s="36">
        <v>0.012</v>
      </c>
      <c r="M11" s="5">
        <f t="shared" si="3"/>
        <v>0</v>
      </c>
      <c r="N11" s="17">
        <v>354</v>
      </c>
      <c r="O11" s="5">
        <f t="shared" si="4"/>
        <v>354</v>
      </c>
      <c r="P11" s="36">
        <v>0.155</v>
      </c>
      <c r="Q11" s="5">
        <f t="shared" si="5"/>
        <v>298</v>
      </c>
      <c r="R11" s="5">
        <f t="shared" si="6"/>
        <v>298</v>
      </c>
      <c r="S11" s="5">
        <v>152</v>
      </c>
      <c r="T11" s="5">
        <f t="shared" si="7"/>
        <v>146</v>
      </c>
    </row>
    <row r="12" ht="18" customHeight="true" spans="1:20">
      <c r="A12" s="3" t="s">
        <v>28</v>
      </c>
      <c r="B12" s="5" t="str">
        <f>财力系数!C10</f>
        <v>1</v>
      </c>
      <c r="C12" s="17">
        <v>4421</v>
      </c>
      <c r="D12" s="17">
        <v>210</v>
      </c>
      <c r="E12" s="5">
        <f>(C12+D12)*B12</f>
        <v>4631</v>
      </c>
      <c r="F12" s="36">
        <v>0.833</v>
      </c>
      <c r="G12" s="5">
        <f t="shared" si="1"/>
        <v>6000</v>
      </c>
      <c r="H12" s="5">
        <f>ROUND(G12/(C12+D12)*C12,0)</f>
        <v>5728</v>
      </c>
      <c r="I12" s="5">
        <f>ROUND(G12/(C12+D12)*D12,0)</f>
        <v>272</v>
      </c>
      <c r="J12" s="17">
        <v>0</v>
      </c>
      <c r="K12" s="5">
        <f t="shared" si="2"/>
        <v>0</v>
      </c>
      <c r="L12" s="36">
        <v>0.012</v>
      </c>
      <c r="M12" s="5">
        <f t="shared" si="3"/>
        <v>0</v>
      </c>
      <c r="N12" s="17">
        <v>315</v>
      </c>
      <c r="O12" s="5">
        <f t="shared" si="4"/>
        <v>315</v>
      </c>
      <c r="P12" s="36">
        <v>0.155</v>
      </c>
      <c r="Q12" s="5">
        <f t="shared" si="5"/>
        <v>265</v>
      </c>
      <c r="R12" s="5">
        <f t="shared" si="6"/>
        <v>6265</v>
      </c>
      <c r="S12" s="5">
        <v>2714</v>
      </c>
      <c r="T12" s="5">
        <f t="shared" si="7"/>
        <v>3551</v>
      </c>
    </row>
    <row r="13" ht="18" customHeight="true" spans="1:20">
      <c r="A13" s="3" t="s">
        <v>29</v>
      </c>
      <c r="B13" s="5" t="str">
        <f>财力系数!C11</f>
        <v>1.1</v>
      </c>
      <c r="C13" s="17">
        <v>0</v>
      </c>
      <c r="D13" s="17">
        <v>0</v>
      </c>
      <c r="E13" s="5">
        <f t="shared" si="0"/>
        <v>0</v>
      </c>
      <c r="F13" s="36">
        <v>0.833</v>
      </c>
      <c r="G13" s="5">
        <f t="shared" si="1"/>
        <v>0</v>
      </c>
      <c r="H13" s="5">
        <f t="shared" ref="H13:H17" si="10">G13</f>
        <v>0</v>
      </c>
      <c r="I13" s="5">
        <f>G13</f>
        <v>0</v>
      </c>
      <c r="J13" s="17">
        <v>0</v>
      </c>
      <c r="K13" s="5">
        <f t="shared" si="2"/>
        <v>0</v>
      </c>
      <c r="L13" s="36">
        <v>0.012</v>
      </c>
      <c r="M13" s="5">
        <f t="shared" si="3"/>
        <v>0</v>
      </c>
      <c r="N13" s="17">
        <v>926</v>
      </c>
      <c r="O13" s="5">
        <f t="shared" si="4"/>
        <v>1018.6</v>
      </c>
      <c r="P13" s="36">
        <v>0.155</v>
      </c>
      <c r="Q13" s="5">
        <f t="shared" si="5"/>
        <v>858</v>
      </c>
      <c r="R13" s="5">
        <f t="shared" si="6"/>
        <v>858</v>
      </c>
      <c r="S13" s="5">
        <v>438</v>
      </c>
      <c r="T13" s="5">
        <f t="shared" si="7"/>
        <v>420</v>
      </c>
    </row>
    <row r="14" ht="18" customHeight="true" spans="1:20">
      <c r="A14" s="3" t="s">
        <v>30</v>
      </c>
      <c r="B14" s="5" t="str">
        <f>财力系数!C12</f>
        <v>0.9</v>
      </c>
      <c r="C14" s="17">
        <v>15000</v>
      </c>
      <c r="D14" s="17">
        <v>0</v>
      </c>
      <c r="E14" s="5">
        <f t="shared" si="0"/>
        <v>13500</v>
      </c>
      <c r="F14" s="36">
        <v>0.833</v>
      </c>
      <c r="G14" s="5">
        <f t="shared" si="1"/>
        <v>17490</v>
      </c>
      <c r="H14" s="5">
        <f t="shared" si="10"/>
        <v>17490</v>
      </c>
      <c r="I14" s="5">
        <v>0</v>
      </c>
      <c r="J14" s="17">
        <v>500</v>
      </c>
      <c r="K14" s="5">
        <f t="shared" si="2"/>
        <v>450</v>
      </c>
      <c r="L14" s="36">
        <v>0.012</v>
      </c>
      <c r="M14" s="5">
        <f t="shared" si="3"/>
        <v>612</v>
      </c>
      <c r="N14" s="17">
        <v>1500</v>
      </c>
      <c r="O14" s="5">
        <f t="shared" si="4"/>
        <v>1350</v>
      </c>
      <c r="P14" s="36">
        <v>0.155</v>
      </c>
      <c r="Q14" s="5">
        <f t="shared" si="5"/>
        <v>1138</v>
      </c>
      <c r="R14" s="5">
        <f t="shared" si="6"/>
        <v>19240</v>
      </c>
      <c r="S14" s="5">
        <v>9030</v>
      </c>
      <c r="T14" s="5">
        <f t="shared" si="7"/>
        <v>10210</v>
      </c>
    </row>
    <row r="15" ht="18" customHeight="true" spans="1:20">
      <c r="A15" s="3" t="s">
        <v>31</v>
      </c>
      <c r="B15" s="5" t="str">
        <f>财力系数!C13</f>
        <v>1</v>
      </c>
      <c r="C15" s="17">
        <v>9000</v>
      </c>
      <c r="D15" s="17">
        <v>315</v>
      </c>
      <c r="E15" s="5">
        <f t="shared" si="0"/>
        <v>9000</v>
      </c>
      <c r="F15" s="36">
        <v>0.833</v>
      </c>
      <c r="G15" s="5">
        <f t="shared" si="1"/>
        <v>11660</v>
      </c>
      <c r="H15" s="5">
        <f t="shared" si="10"/>
        <v>11660</v>
      </c>
      <c r="I15" s="5">
        <v>0</v>
      </c>
      <c r="J15" s="17">
        <v>0</v>
      </c>
      <c r="K15" s="5">
        <f t="shared" si="2"/>
        <v>0</v>
      </c>
      <c r="L15" s="36">
        <v>0.012</v>
      </c>
      <c r="M15" s="5">
        <f t="shared" si="3"/>
        <v>0</v>
      </c>
      <c r="N15" s="17">
        <v>280</v>
      </c>
      <c r="O15" s="5">
        <f t="shared" si="4"/>
        <v>280</v>
      </c>
      <c r="P15" s="36">
        <v>0.155</v>
      </c>
      <c r="Q15" s="5">
        <f t="shared" si="5"/>
        <v>236</v>
      </c>
      <c r="R15" s="5">
        <f t="shared" si="6"/>
        <v>11896</v>
      </c>
      <c r="S15" s="5">
        <v>5185</v>
      </c>
      <c r="T15" s="5">
        <f t="shared" si="7"/>
        <v>6711</v>
      </c>
    </row>
    <row r="16" ht="18" customHeight="true" spans="1:20">
      <c r="A16" s="3" t="s">
        <v>32</v>
      </c>
      <c r="B16" s="5" t="str">
        <f>财力系数!C14</f>
        <v>1</v>
      </c>
      <c r="C16" s="17">
        <v>3328</v>
      </c>
      <c r="D16" s="17">
        <v>0</v>
      </c>
      <c r="E16" s="5">
        <f t="shared" si="0"/>
        <v>3328</v>
      </c>
      <c r="F16" s="36">
        <v>0.833</v>
      </c>
      <c r="G16" s="5">
        <f t="shared" si="1"/>
        <v>4311</v>
      </c>
      <c r="H16" s="5">
        <f t="shared" si="10"/>
        <v>4311</v>
      </c>
      <c r="I16" s="5">
        <v>0</v>
      </c>
      <c r="J16" s="17">
        <v>0</v>
      </c>
      <c r="K16" s="5">
        <f t="shared" si="2"/>
        <v>0</v>
      </c>
      <c r="L16" s="36">
        <v>0.012</v>
      </c>
      <c r="M16" s="5">
        <f t="shared" si="3"/>
        <v>0</v>
      </c>
      <c r="N16" s="17">
        <v>350</v>
      </c>
      <c r="O16" s="5">
        <f t="shared" si="4"/>
        <v>350</v>
      </c>
      <c r="P16" s="36">
        <v>0.155</v>
      </c>
      <c r="Q16" s="5">
        <f t="shared" si="5"/>
        <v>295</v>
      </c>
      <c r="R16" s="5">
        <f t="shared" si="6"/>
        <v>4606</v>
      </c>
      <c r="S16" s="5">
        <v>2008</v>
      </c>
      <c r="T16" s="5">
        <f t="shared" si="7"/>
        <v>2598</v>
      </c>
    </row>
    <row r="17" ht="18" customHeight="true" spans="1:20">
      <c r="A17" s="3" t="s">
        <v>33</v>
      </c>
      <c r="B17" s="5" t="str">
        <f>财力系数!C15</f>
        <v>1.1</v>
      </c>
      <c r="C17" s="17">
        <v>0</v>
      </c>
      <c r="D17" s="17">
        <v>0</v>
      </c>
      <c r="E17" s="5">
        <f t="shared" si="0"/>
        <v>0</v>
      </c>
      <c r="F17" s="36">
        <v>0.833</v>
      </c>
      <c r="G17" s="5">
        <f t="shared" si="1"/>
        <v>0</v>
      </c>
      <c r="H17" s="5">
        <f t="shared" si="10"/>
        <v>0</v>
      </c>
      <c r="I17" s="5">
        <f>G17</f>
        <v>0</v>
      </c>
      <c r="J17" s="17">
        <v>0</v>
      </c>
      <c r="K17" s="5">
        <f t="shared" si="2"/>
        <v>0</v>
      </c>
      <c r="L17" s="36">
        <v>0.012</v>
      </c>
      <c r="M17" s="5">
        <f t="shared" si="3"/>
        <v>0</v>
      </c>
      <c r="N17" s="17">
        <v>217</v>
      </c>
      <c r="O17" s="5">
        <f t="shared" si="4"/>
        <v>238.7</v>
      </c>
      <c r="P17" s="36">
        <v>0.155</v>
      </c>
      <c r="Q17" s="5">
        <f t="shared" si="5"/>
        <v>201</v>
      </c>
      <c r="R17" s="5">
        <f t="shared" si="6"/>
        <v>201</v>
      </c>
      <c r="S17" s="5">
        <v>103</v>
      </c>
      <c r="T17" s="5">
        <f t="shared" si="7"/>
        <v>98</v>
      </c>
    </row>
    <row r="18" ht="18" customHeight="true" spans="1:20">
      <c r="A18" s="3" t="s">
        <v>34</v>
      </c>
      <c r="B18" s="5" t="str">
        <f>财力系数!C16</f>
        <v>1</v>
      </c>
      <c r="C18" s="17">
        <v>2133</v>
      </c>
      <c r="D18" s="17">
        <v>1334</v>
      </c>
      <c r="E18" s="5">
        <f>(C18+D18)*B18</f>
        <v>3467</v>
      </c>
      <c r="F18" s="36">
        <v>0.833</v>
      </c>
      <c r="G18" s="5">
        <f t="shared" si="1"/>
        <v>4492</v>
      </c>
      <c r="H18" s="5">
        <f>ROUND(G18/(C18+D18)*C18,0)</f>
        <v>2764</v>
      </c>
      <c r="I18" s="5">
        <f>ROUND(G18/(C18+D18)*D18,0)</f>
        <v>1728</v>
      </c>
      <c r="J18" s="17">
        <v>0</v>
      </c>
      <c r="K18" s="5">
        <f t="shared" si="2"/>
        <v>0</v>
      </c>
      <c r="L18" s="36">
        <v>0.012</v>
      </c>
      <c r="M18" s="5">
        <f t="shared" si="3"/>
        <v>0</v>
      </c>
      <c r="N18" s="17">
        <v>1000</v>
      </c>
      <c r="O18" s="5">
        <f t="shared" si="4"/>
        <v>1000</v>
      </c>
      <c r="P18" s="36">
        <v>0.155</v>
      </c>
      <c r="Q18" s="5">
        <f t="shared" si="5"/>
        <v>843</v>
      </c>
      <c r="R18" s="5">
        <f t="shared" si="6"/>
        <v>5335</v>
      </c>
      <c r="S18" s="5">
        <v>2367</v>
      </c>
      <c r="T18" s="5">
        <f t="shared" si="7"/>
        <v>2968</v>
      </c>
    </row>
    <row r="19" ht="18" customHeight="true" spans="1:20">
      <c r="A19" s="3" t="s">
        <v>35</v>
      </c>
      <c r="B19" s="5" t="str">
        <f>财力系数!C17</f>
        <v>1</v>
      </c>
      <c r="C19" s="17">
        <v>284</v>
      </c>
      <c r="D19" s="17">
        <v>0</v>
      </c>
      <c r="E19" s="5">
        <f t="shared" si="0"/>
        <v>284</v>
      </c>
      <c r="F19" s="36">
        <v>0.833</v>
      </c>
      <c r="G19" s="5">
        <f t="shared" si="1"/>
        <v>368</v>
      </c>
      <c r="H19" s="5">
        <f t="shared" ref="H19:H24" si="11">G19</f>
        <v>368</v>
      </c>
      <c r="I19" s="5">
        <v>0</v>
      </c>
      <c r="J19" s="17">
        <v>0</v>
      </c>
      <c r="K19" s="5">
        <f t="shared" si="2"/>
        <v>0</v>
      </c>
      <c r="L19" s="36">
        <v>0.012</v>
      </c>
      <c r="M19" s="5">
        <f t="shared" si="3"/>
        <v>0</v>
      </c>
      <c r="N19" s="17">
        <v>1850</v>
      </c>
      <c r="O19" s="5">
        <f t="shared" si="4"/>
        <v>1850</v>
      </c>
      <c r="P19" s="36">
        <v>0.155</v>
      </c>
      <c r="Q19" s="5">
        <f t="shared" si="5"/>
        <v>1559</v>
      </c>
      <c r="R19" s="5">
        <f t="shared" si="6"/>
        <v>1927</v>
      </c>
      <c r="S19" s="5">
        <v>757</v>
      </c>
      <c r="T19" s="5">
        <f t="shared" si="7"/>
        <v>1170</v>
      </c>
    </row>
    <row r="20" ht="18" customHeight="true" spans="1:20">
      <c r="A20" s="3" t="s">
        <v>36</v>
      </c>
      <c r="B20" s="5" t="str">
        <f>财力系数!C18</f>
        <v>1</v>
      </c>
      <c r="C20" s="17">
        <v>1877</v>
      </c>
      <c r="D20" s="17">
        <v>50</v>
      </c>
      <c r="E20" s="5">
        <f t="shared" si="0"/>
        <v>1877</v>
      </c>
      <c r="F20" s="36">
        <v>0.833</v>
      </c>
      <c r="G20" s="5">
        <f t="shared" si="1"/>
        <v>2432</v>
      </c>
      <c r="H20" s="5">
        <f t="shared" si="11"/>
        <v>2432</v>
      </c>
      <c r="I20" s="5">
        <v>0</v>
      </c>
      <c r="J20" s="17">
        <v>0</v>
      </c>
      <c r="K20" s="5">
        <f t="shared" si="2"/>
        <v>0</v>
      </c>
      <c r="L20" s="36">
        <v>0.012</v>
      </c>
      <c r="M20" s="5">
        <f t="shared" si="3"/>
        <v>0</v>
      </c>
      <c r="N20" s="17">
        <v>390</v>
      </c>
      <c r="O20" s="5">
        <f t="shared" si="4"/>
        <v>390</v>
      </c>
      <c r="P20" s="36">
        <v>0.155</v>
      </c>
      <c r="Q20" s="5">
        <f t="shared" si="5"/>
        <v>329</v>
      </c>
      <c r="R20" s="5">
        <f t="shared" si="6"/>
        <v>2761</v>
      </c>
      <c r="S20" s="5">
        <v>930</v>
      </c>
      <c r="T20" s="5">
        <f t="shared" si="7"/>
        <v>1831</v>
      </c>
    </row>
    <row r="21" ht="18" customHeight="true" spans="1:20">
      <c r="A21" s="3" t="s">
        <v>37</v>
      </c>
      <c r="B21" s="5" t="str">
        <f>财力系数!C19</f>
        <v>1</v>
      </c>
      <c r="C21" s="17">
        <v>0</v>
      </c>
      <c r="D21" s="17">
        <v>0</v>
      </c>
      <c r="E21" s="5">
        <f t="shared" si="0"/>
        <v>0</v>
      </c>
      <c r="F21" s="36">
        <v>0.833</v>
      </c>
      <c r="G21" s="5">
        <f t="shared" si="1"/>
        <v>0</v>
      </c>
      <c r="H21" s="5">
        <f t="shared" si="11"/>
        <v>0</v>
      </c>
      <c r="I21" s="5">
        <f t="shared" ref="I21:I24" si="12">G21</f>
        <v>0</v>
      </c>
      <c r="J21" s="17">
        <v>0</v>
      </c>
      <c r="K21" s="5">
        <f t="shared" si="2"/>
        <v>0</v>
      </c>
      <c r="L21" s="36">
        <v>0.012</v>
      </c>
      <c r="M21" s="5">
        <f t="shared" si="3"/>
        <v>0</v>
      </c>
      <c r="N21" s="17">
        <v>1668</v>
      </c>
      <c r="O21" s="5">
        <f t="shared" si="4"/>
        <v>1668</v>
      </c>
      <c r="P21" s="36">
        <v>0.155</v>
      </c>
      <c r="Q21" s="5">
        <f t="shared" si="5"/>
        <v>1406</v>
      </c>
      <c r="R21" s="5">
        <f t="shared" si="6"/>
        <v>1406</v>
      </c>
      <c r="S21" s="5">
        <v>686</v>
      </c>
      <c r="T21" s="5">
        <f t="shared" si="7"/>
        <v>720</v>
      </c>
    </row>
    <row r="22" ht="18" customHeight="true" spans="1:20">
      <c r="A22" s="3" t="s">
        <v>38</v>
      </c>
      <c r="B22" s="5" t="str">
        <f>财力系数!C20</f>
        <v>1.1</v>
      </c>
      <c r="C22" s="17">
        <v>0</v>
      </c>
      <c r="D22" s="17">
        <v>400</v>
      </c>
      <c r="E22" s="5">
        <f t="shared" si="0"/>
        <v>0</v>
      </c>
      <c r="F22" s="36">
        <v>0.833</v>
      </c>
      <c r="G22" s="5">
        <f t="shared" si="1"/>
        <v>0</v>
      </c>
      <c r="H22" s="5">
        <f t="shared" si="11"/>
        <v>0</v>
      </c>
      <c r="I22" s="5">
        <f t="shared" si="12"/>
        <v>0</v>
      </c>
      <c r="J22" s="17">
        <v>0</v>
      </c>
      <c r="K22" s="5">
        <f t="shared" si="2"/>
        <v>0</v>
      </c>
      <c r="L22" s="36">
        <v>0.012</v>
      </c>
      <c r="M22" s="5">
        <f t="shared" si="3"/>
        <v>0</v>
      </c>
      <c r="N22" s="17">
        <v>235</v>
      </c>
      <c r="O22" s="5">
        <f t="shared" si="4"/>
        <v>258.5</v>
      </c>
      <c r="P22" s="36">
        <v>0.155</v>
      </c>
      <c r="Q22" s="5">
        <f t="shared" si="5"/>
        <v>218</v>
      </c>
      <c r="R22" s="5">
        <f t="shared" si="6"/>
        <v>218</v>
      </c>
      <c r="S22" s="5">
        <v>111</v>
      </c>
      <c r="T22" s="5">
        <f t="shared" si="7"/>
        <v>107</v>
      </c>
    </row>
    <row r="23" ht="18" customHeight="true" spans="1:20">
      <c r="A23" s="3" t="s">
        <v>39</v>
      </c>
      <c r="B23" s="5" t="str">
        <f>财力系数!C21</f>
        <v>1.1</v>
      </c>
      <c r="C23" s="17">
        <v>0</v>
      </c>
      <c r="D23" s="17">
        <v>0</v>
      </c>
      <c r="E23" s="5">
        <f t="shared" si="0"/>
        <v>0</v>
      </c>
      <c r="F23" s="36">
        <v>0.833</v>
      </c>
      <c r="G23" s="5">
        <f t="shared" si="1"/>
        <v>0</v>
      </c>
      <c r="H23" s="5">
        <f t="shared" si="11"/>
        <v>0</v>
      </c>
      <c r="I23" s="5">
        <f t="shared" si="12"/>
        <v>0</v>
      </c>
      <c r="J23" s="17">
        <v>0</v>
      </c>
      <c r="K23" s="5">
        <f t="shared" si="2"/>
        <v>0</v>
      </c>
      <c r="L23" s="36">
        <v>0.012</v>
      </c>
      <c r="M23" s="5">
        <f t="shared" si="3"/>
        <v>0</v>
      </c>
      <c r="N23" s="17">
        <v>126</v>
      </c>
      <c r="O23" s="5">
        <f t="shared" si="4"/>
        <v>138.6</v>
      </c>
      <c r="P23" s="36">
        <v>0.155</v>
      </c>
      <c r="Q23" s="5">
        <f t="shared" si="5"/>
        <v>117</v>
      </c>
      <c r="R23" s="5">
        <f t="shared" si="6"/>
        <v>117</v>
      </c>
      <c r="S23" s="5">
        <v>0</v>
      </c>
      <c r="T23" s="5">
        <f t="shared" si="7"/>
        <v>117</v>
      </c>
    </row>
    <row r="24" ht="18" customHeight="true" spans="1:20">
      <c r="A24" s="3" t="s">
        <v>40</v>
      </c>
      <c r="B24" s="5" t="str">
        <f>财力系数!C22</f>
        <v>1.1</v>
      </c>
      <c r="C24" s="17">
        <v>0</v>
      </c>
      <c r="D24" s="17">
        <v>0</v>
      </c>
      <c r="E24" s="5">
        <f t="shared" si="0"/>
        <v>0</v>
      </c>
      <c r="F24" s="36">
        <v>0.833</v>
      </c>
      <c r="G24" s="5">
        <f t="shared" si="1"/>
        <v>0</v>
      </c>
      <c r="H24" s="5">
        <f t="shared" si="11"/>
        <v>0</v>
      </c>
      <c r="I24" s="5">
        <f t="shared" si="12"/>
        <v>0</v>
      </c>
      <c r="J24" s="17">
        <v>0</v>
      </c>
      <c r="K24" s="5">
        <f t="shared" si="2"/>
        <v>0</v>
      </c>
      <c r="L24" s="36">
        <v>0.012</v>
      </c>
      <c r="M24" s="5">
        <f t="shared" si="3"/>
        <v>0</v>
      </c>
      <c r="N24" s="17">
        <v>354</v>
      </c>
      <c r="O24" s="5">
        <f t="shared" si="4"/>
        <v>389.4</v>
      </c>
      <c r="P24" s="36">
        <v>0.155</v>
      </c>
      <c r="Q24" s="5">
        <f t="shared" si="5"/>
        <v>328</v>
      </c>
      <c r="R24" s="5">
        <f t="shared" si="6"/>
        <v>328</v>
      </c>
      <c r="S24" s="5">
        <v>194</v>
      </c>
      <c r="T24" s="5">
        <f t="shared" si="7"/>
        <v>134</v>
      </c>
    </row>
    <row r="25" ht="18" customHeight="true" spans="1:20">
      <c r="A25" s="20" t="s">
        <v>41</v>
      </c>
      <c r="B25" s="1" t="s">
        <v>60</v>
      </c>
      <c r="C25" s="29">
        <f>SUM(C5:C24)</f>
        <v>169511</v>
      </c>
      <c r="D25" s="29">
        <f>SUM(D5:D24)</f>
        <v>14946</v>
      </c>
      <c r="E25" s="1">
        <f t="shared" ref="E25:T25" si="13">SUM(E5:E24)</f>
        <v>142008.2</v>
      </c>
      <c r="F25" s="1" t="s">
        <v>60</v>
      </c>
      <c r="G25" s="1">
        <f t="shared" si="13"/>
        <v>183976</v>
      </c>
      <c r="H25" s="1">
        <f t="shared" si="13"/>
        <v>174721</v>
      </c>
      <c r="I25" s="1">
        <f t="shared" si="13"/>
        <v>9255</v>
      </c>
      <c r="J25" s="29">
        <f t="shared" si="13"/>
        <v>2500</v>
      </c>
      <c r="K25" s="1">
        <f t="shared" si="13"/>
        <v>1950</v>
      </c>
      <c r="L25" s="1" t="s">
        <v>60</v>
      </c>
      <c r="M25" s="1">
        <f t="shared" si="13"/>
        <v>2650</v>
      </c>
      <c r="N25" s="29">
        <f t="shared" si="13"/>
        <v>47744</v>
      </c>
      <c r="O25" s="1">
        <f t="shared" si="13"/>
        <v>40621.4</v>
      </c>
      <c r="P25" s="1" t="s">
        <v>60</v>
      </c>
      <c r="Q25" s="1">
        <f t="shared" si="13"/>
        <v>34232</v>
      </c>
      <c r="R25" s="1">
        <f t="shared" si="13"/>
        <v>220858</v>
      </c>
      <c r="S25" s="1">
        <f t="shared" si="13"/>
        <v>113736</v>
      </c>
      <c r="T25" s="1">
        <f t="shared" si="13"/>
        <v>107122</v>
      </c>
    </row>
    <row r="26" ht="131.25" customHeight="true" spans="1:20">
      <c r="A26" s="21" t="s">
        <v>61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</sheetData>
  <mergeCells count="10">
    <mergeCell ref="A1:T1"/>
    <mergeCell ref="C3:I3"/>
    <mergeCell ref="J3:M3"/>
    <mergeCell ref="N3:Q3"/>
    <mergeCell ref="A26:T26"/>
    <mergeCell ref="A3:A4"/>
    <mergeCell ref="B3:B4"/>
    <mergeCell ref="R3:R4"/>
    <mergeCell ref="S3:S4"/>
    <mergeCell ref="T3:T4"/>
  </mergeCells>
  <pageMargins left="0.393700787401575" right="0.393700787401575" top="0.78740157480315" bottom="0.78740157480315" header="0.393700787401575" footer="0.393700787401575"/>
  <pageSetup paperSize="9" scale="72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workbookViewId="0">
      <selection activeCell="X11" sqref="X11"/>
    </sheetView>
  </sheetViews>
  <sheetFormatPr defaultColWidth="9" defaultRowHeight="14.25"/>
  <cols>
    <col min="1" max="2" width="10.6266666666667" style="6" customWidth="true"/>
    <col min="3" max="3" width="12.6266666666667" style="6" customWidth="true"/>
    <col min="4" max="4" width="10.6266666666667" style="6" hidden="true" customWidth="true"/>
    <col min="5" max="5" width="12.6266666666667" style="6" customWidth="true"/>
    <col min="6" max="6" width="14.6266666666667" style="6" customWidth="true"/>
    <col min="7" max="7" width="12.6266666666667" style="6" customWidth="true"/>
    <col min="8" max="8" width="9" style="6"/>
    <col min="9" max="9" width="9.5" style="6" customWidth="true"/>
    <col min="10" max="16384" width="9" style="6"/>
  </cols>
  <sheetData>
    <row r="1" ht="63" customHeight="true" spans="1:7">
      <c r="A1" s="27" t="s">
        <v>62</v>
      </c>
      <c r="B1" s="28"/>
      <c r="C1" s="28"/>
      <c r="D1" s="28"/>
      <c r="E1" s="28"/>
      <c r="F1" s="28"/>
      <c r="G1" s="28"/>
    </row>
    <row r="2" ht="21" customHeight="true" spans="1:19">
      <c r="A2" s="27"/>
      <c r="B2" s="28"/>
      <c r="C2" s="28"/>
      <c r="D2" s="28"/>
      <c r="E2" s="28"/>
      <c r="F2" s="28"/>
      <c r="G2" s="22" t="s">
        <v>1</v>
      </c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2"/>
    </row>
    <row r="3" ht="48" customHeight="true" spans="1:7">
      <c r="A3" s="2" t="s">
        <v>3</v>
      </c>
      <c r="B3" s="2" t="s">
        <v>44</v>
      </c>
      <c r="C3" s="2" t="s">
        <v>63</v>
      </c>
      <c r="D3" s="2" t="s">
        <v>53</v>
      </c>
      <c r="E3" s="2" t="s">
        <v>64</v>
      </c>
      <c r="F3" s="2" t="s">
        <v>65</v>
      </c>
      <c r="G3" s="2" t="s">
        <v>50</v>
      </c>
    </row>
    <row r="4" ht="21" customHeight="true" spans="1:8">
      <c r="A4" s="3" t="s">
        <v>21</v>
      </c>
      <c r="B4" s="5" t="str">
        <f>财力系数!C2</f>
        <v>0.7</v>
      </c>
      <c r="C4" s="17">
        <v>0</v>
      </c>
      <c r="D4" s="17">
        <f t="shared" ref="D4:D23" si="0">C4*B4</f>
        <v>0</v>
      </c>
      <c r="E4" s="17">
        <f t="shared" ref="E4:E23" si="1">ROUND(D4/$D$24*662,0)</f>
        <v>0</v>
      </c>
      <c r="F4" s="17">
        <v>0</v>
      </c>
      <c r="G4" s="17">
        <f>E4-F4</f>
        <v>0</v>
      </c>
      <c r="H4" s="31"/>
    </row>
    <row r="5" ht="21" customHeight="true" spans="1:9">
      <c r="A5" s="3" t="s">
        <v>22</v>
      </c>
      <c r="B5" s="5" t="str">
        <f>财力系数!C4</f>
        <v>0.9</v>
      </c>
      <c r="C5" s="17">
        <v>0</v>
      </c>
      <c r="D5" s="17">
        <f t="shared" si="0"/>
        <v>0</v>
      </c>
      <c r="E5" s="17">
        <f t="shared" si="1"/>
        <v>0</v>
      </c>
      <c r="F5" s="17">
        <v>0</v>
      </c>
      <c r="G5" s="17">
        <f t="shared" ref="G5:G23" si="2">E5-F5</f>
        <v>0</v>
      </c>
      <c r="H5" s="31"/>
      <c r="I5" s="32"/>
    </row>
    <row r="6" ht="21" customHeight="true" spans="1:9">
      <c r="A6" s="3" t="s">
        <v>23</v>
      </c>
      <c r="B6" s="5" t="str">
        <f>财力系数!C5</f>
        <v>1.1</v>
      </c>
      <c r="C6" s="17">
        <v>7</v>
      </c>
      <c r="D6" s="17">
        <f t="shared" si="0"/>
        <v>7.7</v>
      </c>
      <c r="E6" s="17">
        <f t="shared" si="1"/>
        <v>22</v>
      </c>
      <c r="F6" s="17">
        <v>0</v>
      </c>
      <c r="G6" s="17">
        <f t="shared" si="2"/>
        <v>22</v>
      </c>
      <c r="H6" s="31"/>
      <c r="I6" s="32"/>
    </row>
    <row r="7" ht="21" customHeight="true" spans="1:9">
      <c r="A7" s="3" t="s">
        <v>24</v>
      </c>
      <c r="B7" s="5" t="str">
        <f>财力系数!C6</f>
        <v>0.9</v>
      </c>
      <c r="C7" s="17">
        <v>3</v>
      </c>
      <c r="D7" s="17">
        <f t="shared" si="0"/>
        <v>2.7</v>
      </c>
      <c r="E7" s="17">
        <f t="shared" si="1"/>
        <v>8</v>
      </c>
      <c r="F7" s="17">
        <v>0</v>
      </c>
      <c r="G7" s="17">
        <f t="shared" si="2"/>
        <v>8</v>
      </c>
      <c r="H7" s="31"/>
      <c r="I7" s="32"/>
    </row>
    <row r="8" ht="21" customHeight="true" spans="1:9">
      <c r="A8" s="3" t="s">
        <v>25</v>
      </c>
      <c r="B8" s="5" t="str">
        <f>财力系数!C7</f>
        <v>1</v>
      </c>
      <c r="C8" s="17">
        <v>178</v>
      </c>
      <c r="D8" s="17">
        <f t="shared" si="0"/>
        <v>178</v>
      </c>
      <c r="E8" s="17">
        <f t="shared" si="1"/>
        <v>519</v>
      </c>
      <c r="F8" s="17">
        <v>327</v>
      </c>
      <c r="G8" s="17">
        <f t="shared" si="2"/>
        <v>192</v>
      </c>
      <c r="H8" s="31"/>
      <c r="I8" s="32"/>
    </row>
    <row r="9" ht="21" customHeight="true" spans="1:9">
      <c r="A9" s="3" t="s">
        <v>26</v>
      </c>
      <c r="B9" s="5" t="str">
        <f>财力系数!C8</f>
        <v>1.1</v>
      </c>
      <c r="C9" s="17">
        <v>0</v>
      </c>
      <c r="D9" s="17">
        <f t="shared" si="0"/>
        <v>0</v>
      </c>
      <c r="E9" s="17">
        <f t="shared" si="1"/>
        <v>0</v>
      </c>
      <c r="F9" s="17">
        <v>0</v>
      </c>
      <c r="G9" s="17">
        <f t="shared" si="2"/>
        <v>0</v>
      </c>
      <c r="H9" s="31"/>
      <c r="I9" s="32"/>
    </row>
    <row r="10" ht="21" customHeight="true" spans="1:9">
      <c r="A10" s="3" t="s">
        <v>27</v>
      </c>
      <c r="B10" s="5" t="str">
        <f>财力系数!C9</f>
        <v>1</v>
      </c>
      <c r="C10" s="17">
        <v>0</v>
      </c>
      <c r="D10" s="17">
        <f t="shared" si="0"/>
        <v>0</v>
      </c>
      <c r="E10" s="17">
        <f t="shared" si="1"/>
        <v>0</v>
      </c>
      <c r="F10" s="17">
        <v>0</v>
      </c>
      <c r="G10" s="17">
        <f t="shared" si="2"/>
        <v>0</v>
      </c>
      <c r="H10" s="31"/>
      <c r="I10" s="33"/>
    </row>
    <row r="11" ht="21" customHeight="true" spans="1:8">
      <c r="A11" s="3" t="s">
        <v>28</v>
      </c>
      <c r="B11" s="5" t="str">
        <f>财力系数!C10</f>
        <v>1</v>
      </c>
      <c r="C11" s="17">
        <v>0</v>
      </c>
      <c r="D11" s="17">
        <f t="shared" si="0"/>
        <v>0</v>
      </c>
      <c r="E11" s="17">
        <f t="shared" si="1"/>
        <v>0</v>
      </c>
      <c r="F11" s="17">
        <v>0</v>
      </c>
      <c r="G11" s="17">
        <f t="shared" si="2"/>
        <v>0</v>
      </c>
      <c r="H11" s="31"/>
    </row>
    <row r="12" ht="21" customHeight="true" spans="1:8">
      <c r="A12" s="3" t="s">
        <v>29</v>
      </c>
      <c r="B12" s="5" t="str">
        <f>财力系数!C11</f>
        <v>1.1</v>
      </c>
      <c r="C12" s="17">
        <v>0</v>
      </c>
      <c r="D12" s="17">
        <f t="shared" si="0"/>
        <v>0</v>
      </c>
      <c r="E12" s="17">
        <f t="shared" si="1"/>
        <v>0</v>
      </c>
      <c r="F12" s="17">
        <v>0</v>
      </c>
      <c r="G12" s="17">
        <f t="shared" si="2"/>
        <v>0</v>
      </c>
      <c r="H12" s="31"/>
    </row>
    <row r="13" ht="21" customHeight="true" spans="1:8">
      <c r="A13" s="3" t="s">
        <v>30</v>
      </c>
      <c r="B13" s="5" t="str">
        <f>财力系数!C12</f>
        <v>0.9</v>
      </c>
      <c r="C13" s="17">
        <v>0</v>
      </c>
      <c r="D13" s="17">
        <f t="shared" si="0"/>
        <v>0</v>
      </c>
      <c r="E13" s="17">
        <f t="shared" si="1"/>
        <v>0</v>
      </c>
      <c r="F13" s="17">
        <v>0</v>
      </c>
      <c r="G13" s="17">
        <f t="shared" si="2"/>
        <v>0</v>
      </c>
      <c r="H13" s="31"/>
    </row>
    <row r="14" ht="21" customHeight="true" spans="1:8">
      <c r="A14" s="3" t="s">
        <v>31</v>
      </c>
      <c r="B14" s="5" t="str">
        <f>财力系数!C13</f>
        <v>1</v>
      </c>
      <c r="C14" s="17">
        <v>0</v>
      </c>
      <c r="D14" s="17">
        <f t="shared" si="0"/>
        <v>0</v>
      </c>
      <c r="E14" s="17">
        <f t="shared" si="1"/>
        <v>0</v>
      </c>
      <c r="F14" s="17">
        <v>0</v>
      </c>
      <c r="G14" s="17">
        <f t="shared" si="2"/>
        <v>0</v>
      </c>
      <c r="H14" s="31"/>
    </row>
    <row r="15" ht="21" customHeight="true" spans="1:8">
      <c r="A15" s="3" t="s">
        <v>32</v>
      </c>
      <c r="B15" s="5" t="str">
        <f>财力系数!C14</f>
        <v>1</v>
      </c>
      <c r="C15" s="17">
        <v>20</v>
      </c>
      <c r="D15" s="17">
        <f t="shared" si="0"/>
        <v>20</v>
      </c>
      <c r="E15" s="17">
        <f>ROUND(D15/$D$24*662,0)+1</f>
        <v>59</v>
      </c>
      <c r="F15" s="17">
        <v>128</v>
      </c>
      <c r="G15" s="17">
        <f t="shared" si="2"/>
        <v>-69</v>
      </c>
      <c r="H15" s="31"/>
    </row>
    <row r="16" ht="21" customHeight="true" spans="1:8">
      <c r="A16" s="3" t="s">
        <v>33</v>
      </c>
      <c r="B16" s="5" t="str">
        <f>财力系数!C15</f>
        <v>1.1</v>
      </c>
      <c r="C16" s="17">
        <v>0</v>
      </c>
      <c r="D16" s="17">
        <f t="shared" si="0"/>
        <v>0</v>
      </c>
      <c r="E16" s="17">
        <f t="shared" si="1"/>
        <v>0</v>
      </c>
      <c r="F16" s="17">
        <v>0</v>
      </c>
      <c r="G16" s="17">
        <f t="shared" si="2"/>
        <v>0</v>
      </c>
      <c r="H16" s="31"/>
    </row>
    <row r="17" ht="21" customHeight="true" spans="1:8">
      <c r="A17" s="3" t="s">
        <v>34</v>
      </c>
      <c r="B17" s="5" t="str">
        <f>财力系数!C16</f>
        <v>1</v>
      </c>
      <c r="C17" s="17">
        <v>0</v>
      </c>
      <c r="D17" s="17">
        <f t="shared" si="0"/>
        <v>0</v>
      </c>
      <c r="E17" s="17">
        <f t="shared" si="1"/>
        <v>0</v>
      </c>
      <c r="F17" s="17">
        <v>0</v>
      </c>
      <c r="G17" s="17">
        <f t="shared" si="2"/>
        <v>0</v>
      </c>
      <c r="H17" s="31"/>
    </row>
    <row r="18" ht="21" customHeight="true" spans="1:8">
      <c r="A18" s="3" t="s">
        <v>35</v>
      </c>
      <c r="B18" s="5" t="str">
        <f>财力系数!C17</f>
        <v>1</v>
      </c>
      <c r="C18" s="17">
        <v>0</v>
      </c>
      <c r="D18" s="17">
        <f t="shared" si="0"/>
        <v>0</v>
      </c>
      <c r="E18" s="17">
        <f t="shared" si="1"/>
        <v>0</v>
      </c>
      <c r="F18" s="17">
        <v>0</v>
      </c>
      <c r="G18" s="17">
        <f t="shared" si="2"/>
        <v>0</v>
      </c>
      <c r="H18" s="31"/>
    </row>
    <row r="19" ht="21" customHeight="true" spans="1:8">
      <c r="A19" s="3" t="s">
        <v>36</v>
      </c>
      <c r="B19" s="5" t="str">
        <f>财力系数!C18</f>
        <v>1</v>
      </c>
      <c r="C19" s="17">
        <v>12</v>
      </c>
      <c r="D19" s="17">
        <f t="shared" si="0"/>
        <v>12</v>
      </c>
      <c r="E19" s="17">
        <f t="shared" si="1"/>
        <v>35</v>
      </c>
      <c r="F19" s="17">
        <v>0</v>
      </c>
      <c r="G19" s="17">
        <f t="shared" si="2"/>
        <v>35</v>
      </c>
      <c r="H19" s="31"/>
    </row>
    <row r="20" ht="21" customHeight="true" spans="1:8">
      <c r="A20" s="3" t="s">
        <v>37</v>
      </c>
      <c r="B20" s="5" t="str">
        <f>财力系数!C19</f>
        <v>1</v>
      </c>
      <c r="C20" s="17">
        <v>0</v>
      </c>
      <c r="D20" s="17">
        <f t="shared" si="0"/>
        <v>0</v>
      </c>
      <c r="E20" s="17">
        <f t="shared" si="1"/>
        <v>0</v>
      </c>
      <c r="F20" s="17">
        <v>0</v>
      </c>
      <c r="G20" s="17">
        <f t="shared" si="2"/>
        <v>0</v>
      </c>
      <c r="H20" s="31"/>
    </row>
    <row r="21" ht="21" customHeight="true" spans="1:8">
      <c r="A21" s="3" t="s">
        <v>38</v>
      </c>
      <c r="B21" s="5" t="str">
        <f>财力系数!C20</f>
        <v>1.1</v>
      </c>
      <c r="C21" s="17">
        <v>6</v>
      </c>
      <c r="D21" s="17">
        <f t="shared" si="0"/>
        <v>6.6</v>
      </c>
      <c r="E21" s="17">
        <f t="shared" si="1"/>
        <v>19</v>
      </c>
      <c r="F21" s="17">
        <v>42</v>
      </c>
      <c r="G21" s="17">
        <f t="shared" si="2"/>
        <v>-23</v>
      </c>
      <c r="H21" s="31"/>
    </row>
    <row r="22" ht="21" customHeight="true" spans="1:8">
      <c r="A22" s="3" t="s">
        <v>39</v>
      </c>
      <c r="B22" s="5" t="str">
        <f>财力系数!C21</f>
        <v>1.1</v>
      </c>
      <c r="C22" s="17">
        <v>0</v>
      </c>
      <c r="D22" s="17">
        <f t="shared" si="0"/>
        <v>0</v>
      </c>
      <c r="E22" s="17">
        <f t="shared" si="1"/>
        <v>0</v>
      </c>
      <c r="F22" s="17">
        <v>0</v>
      </c>
      <c r="G22" s="17">
        <f t="shared" si="2"/>
        <v>0</v>
      </c>
      <c r="H22" s="31"/>
    </row>
    <row r="23" ht="21" customHeight="true" spans="1:8">
      <c r="A23" s="3" t="s">
        <v>40</v>
      </c>
      <c r="B23" s="5" t="str">
        <f>财力系数!C22</f>
        <v>1.1</v>
      </c>
      <c r="C23" s="17">
        <v>0</v>
      </c>
      <c r="D23" s="17">
        <f t="shared" si="0"/>
        <v>0</v>
      </c>
      <c r="E23" s="17">
        <f t="shared" si="1"/>
        <v>0</v>
      </c>
      <c r="F23" s="17">
        <v>0</v>
      </c>
      <c r="G23" s="17">
        <f t="shared" si="2"/>
        <v>0</v>
      </c>
      <c r="H23" s="31"/>
    </row>
    <row r="24" ht="21" customHeight="true" spans="1:8">
      <c r="A24" s="20" t="s">
        <v>41</v>
      </c>
      <c r="B24" s="1" t="s">
        <v>60</v>
      </c>
      <c r="C24" s="29">
        <f t="shared" ref="C24:G24" si="3">SUM(C4:C23)</f>
        <v>226</v>
      </c>
      <c r="D24" s="29">
        <f t="shared" si="3"/>
        <v>227</v>
      </c>
      <c r="E24" s="29">
        <f t="shared" si="3"/>
        <v>662</v>
      </c>
      <c r="F24" s="29">
        <f t="shared" si="3"/>
        <v>497</v>
      </c>
      <c r="G24" s="29">
        <f t="shared" si="3"/>
        <v>165</v>
      </c>
      <c r="H24" s="31"/>
    </row>
    <row r="25" ht="58.5" customHeight="true" spans="1:7">
      <c r="A25" s="21" t="s">
        <v>66</v>
      </c>
      <c r="B25" s="30"/>
      <c r="C25" s="30"/>
      <c r="D25" s="30"/>
      <c r="E25" s="30"/>
      <c r="F25" s="30"/>
      <c r="G25" s="30"/>
    </row>
  </sheetData>
  <mergeCells count="2">
    <mergeCell ref="A1:G1"/>
    <mergeCell ref="A25:G25"/>
  </mergeCells>
  <pageMargins left="0.78740157480315" right="0.78740157480315" top="0.78740157480315" bottom="0.78740157480315" header="0.393700787401575" footer="0.393700787401575"/>
  <pageSetup paperSize="9" scale="8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workbookViewId="0">
      <selection activeCell="X11" sqref="X11"/>
    </sheetView>
  </sheetViews>
  <sheetFormatPr defaultColWidth="9" defaultRowHeight="14.25"/>
  <cols>
    <col min="1" max="2" width="10.6266666666667" style="6" customWidth="true"/>
    <col min="3" max="3" width="10.3733333333333" style="6" customWidth="true"/>
    <col min="4" max="7" width="10.6266666666667" style="6" customWidth="true"/>
    <col min="8" max="8" width="10.6266666666667" style="6" hidden="true" customWidth="true"/>
    <col min="9" max="9" width="12.6266666666667" style="6" customWidth="true"/>
    <col min="10" max="11" width="12.6266666666667" style="6" hidden="true" customWidth="true"/>
    <col min="12" max="12" width="10.8733333333333" style="6" hidden="true" customWidth="true"/>
    <col min="13" max="13" width="12.7533333333333" style="6" hidden="true" customWidth="true"/>
    <col min="14" max="16384" width="9" style="6"/>
  </cols>
  <sheetData>
    <row r="1" ht="43.5" customHeight="true" spans="1:13">
      <c r="A1" s="18" t="s">
        <v>67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ht="20.25" customHeight="true" spans="1:13">
      <c r="A2" s="18"/>
      <c r="B2" s="18"/>
      <c r="C2" s="18"/>
      <c r="D2" s="18"/>
      <c r="E2" s="18"/>
      <c r="F2" s="18"/>
      <c r="G2" s="18"/>
      <c r="H2" s="18"/>
      <c r="I2" s="22" t="s">
        <v>1</v>
      </c>
      <c r="J2" s="18"/>
      <c r="K2" s="18"/>
      <c r="L2" s="18"/>
      <c r="M2" s="22"/>
    </row>
    <row r="3" ht="61.5" customHeight="true" spans="1:13">
      <c r="A3" s="2" t="s">
        <v>3</v>
      </c>
      <c r="B3" s="2" t="s">
        <v>68</v>
      </c>
      <c r="C3" s="2" t="s">
        <v>69</v>
      </c>
      <c r="D3" s="2" t="s">
        <v>51</v>
      </c>
      <c r="E3" s="2" t="s">
        <v>52</v>
      </c>
      <c r="F3" s="2" t="s">
        <v>70</v>
      </c>
      <c r="G3" s="2" t="s">
        <v>71</v>
      </c>
      <c r="H3" s="2" t="s">
        <v>53</v>
      </c>
      <c r="I3" s="2" t="s">
        <v>72</v>
      </c>
      <c r="J3" s="2" t="s">
        <v>56</v>
      </c>
      <c r="K3" s="2" t="s">
        <v>57</v>
      </c>
      <c r="L3" s="2" t="s">
        <v>73</v>
      </c>
      <c r="M3" s="2" t="s">
        <v>74</v>
      </c>
    </row>
    <row r="4" ht="21" customHeight="true" spans="1:13">
      <c r="A4" s="3" t="s">
        <v>21</v>
      </c>
      <c r="B4" s="5" t="str">
        <f>住房保障绩效系数!D2</f>
        <v>1</v>
      </c>
      <c r="C4" s="5">
        <f>D4+E4+F4+G4</f>
        <v>128500</v>
      </c>
      <c r="D4" s="5">
        <v>100000</v>
      </c>
      <c r="E4" s="5">
        <v>8000</v>
      </c>
      <c r="F4" s="5">
        <v>1500</v>
      </c>
      <c r="G4" s="5">
        <v>19000</v>
      </c>
      <c r="H4" s="5">
        <f>C4*B4</f>
        <v>128500</v>
      </c>
      <c r="I4" s="5">
        <f>ROUND(H4/$H$24*14274,0)-1</f>
        <v>8332</v>
      </c>
      <c r="J4" s="5">
        <f>ROUND(I4/C4*D4,0)</f>
        <v>6484</v>
      </c>
      <c r="K4" s="5">
        <f>ROUND(I4/C4*E4,0)</f>
        <v>519</v>
      </c>
      <c r="L4" s="5">
        <f t="shared" ref="L4:L23" si="0">ROUND(I4/C4*F4,0)</f>
        <v>97</v>
      </c>
      <c r="M4" s="5">
        <f t="shared" ref="M4:M23" si="1">ROUND(I4/C4*G4,0)</f>
        <v>1232</v>
      </c>
    </row>
    <row r="5" ht="21" customHeight="true" spans="1:13">
      <c r="A5" s="3" t="s">
        <v>22</v>
      </c>
      <c r="B5" s="5" t="str">
        <f>住房保障绩效系数!D3</f>
        <v>0.8</v>
      </c>
      <c r="C5" s="5">
        <f>D5+E5+F5+G5-E5</f>
        <v>19700</v>
      </c>
      <c r="D5" s="5">
        <v>18700</v>
      </c>
      <c r="E5" s="5">
        <v>3837</v>
      </c>
      <c r="F5" s="5">
        <v>0</v>
      </c>
      <c r="G5" s="5">
        <v>1000</v>
      </c>
      <c r="H5" s="5">
        <f t="shared" ref="H5:H23" si="2">C5*B5</f>
        <v>15760</v>
      </c>
      <c r="I5" s="5">
        <f t="shared" ref="I5:I23" si="3">ROUND(H5/$H$24*14274,0)</f>
        <v>1022</v>
      </c>
      <c r="J5" s="5">
        <f t="shared" ref="J5:J23" si="4">ROUND(I5/C5*D5,0)</f>
        <v>970</v>
      </c>
      <c r="K5" s="5">
        <f>ROUND(I5/C5*(E5-E5),0)</f>
        <v>0</v>
      </c>
      <c r="L5" s="5">
        <f t="shared" si="0"/>
        <v>0</v>
      </c>
      <c r="M5" s="5">
        <f t="shared" si="1"/>
        <v>52</v>
      </c>
    </row>
    <row r="6" ht="21" customHeight="true" spans="1:13">
      <c r="A6" s="3" t="s">
        <v>23</v>
      </c>
      <c r="B6" s="5" t="str">
        <f>住房保障绩效系数!D4</f>
        <v>1</v>
      </c>
      <c r="C6" s="5">
        <f t="shared" ref="C6:C7" si="5">D6+E6+F6+G6-E6</f>
        <v>3011</v>
      </c>
      <c r="D6" s="5">
        <v>1000</v>
      </c>
      <c r="E6" s="5">
        <v>420</v>
      </c>
      <c r="F6" s="5">
        <v>0</v>
      </c>
      <c r="G6" s="5">
        <v>2011</v>
      </c>
      <c r="H6" s="5">
        <f t="shared" si="2"/>
        <v>3011</v>
      </c>
      <c r="I6" s="5">
        <f t="shared" si="3"/>
        <v>195</v>
      </c>
      <c r="J6" s="5">
        <f t="shared" si="4"/>
        <v>65</v>
      </c>
      <c r="K6" s="5">
        <f t="shared" ref="K6:K7" si="6">ROUND(I6/C6*(E6-E6),0)</f>
        <v>0</v>
      </c>
      <c r="L6" s="5">
        <f t="shared" si="0"/>
        <v>0</v>
      </c>
      <c r="M6" s="5">
        <f t="shared" si="1"/>
        <v>130</v>
      </c>
    </row>
    <row r="7" ht="21" customHeight="true" spans="1:13">
      <c r="A7" s="3" t="s">
        <v>24</v>
      </c>
      <c r="B7" s="5" t="str">
        <f>住房保障绩效系数!D5</f>
        <v>0.8</v>
      </c>
      <c r="C7" s="5">
        <f t="shared" si="5"/>
        <v>30093</v>
      </c>
      <c r="D7" s="5">
        <v>13768</v>
      </c>
      <c r="E7" s="5">
        <v>0</v>
      </c>
      <c r="F7" s="5">
        <v>500</v>
      </c>
      <c r="G7" s="5">
        <v>15825</v>
      </c>
      <c r="H7" s="5">
        <f t="shared" si="2"/>
        <v>24074.4</v>
      </c>
      <c r="I7" s="5">
        <f t="shared" si="3"/>
        <v>1561</v>
      </c>
      <c r="J7" s="5">
        <f t="shared" si="4"/>
        <v>714</v>
      </c>
      <c r="K7" s="5">
        <f t="shared" si="6"/>
        <v>0</v>
      </c>
      <c r="L7" s="5">
        <f t="shared" si="0"/>
        <v>26</v>
      </c>
      <c r="M7" s="5">
        <f t="shared" si="1"/>
        <v>821</v>
      </c>
    </row>
    <row r="8" ht="21" customHeight="true" spans="1:13">
      <c r="A8" s="3" t="s">
        <v>25</v>
      </c>
      <c r="B8" s="5" t="str">
        <f>住房保障绩效系数!D6</f>
        <v>1.2</v>
      </c>
      <c r="C8" s="5">
        <f t="shared" ref="C8:C17" si="7">D8+E8+F8+G8</f>
        <v>113</v>
      </c>
      <c r="D8" s="5">
        <v>0</v>
      </c>
      <c r="E8" s="5">
        <v>0</v>
      </c>
      <c r="F8" s="5">
        <v>0</v>
      </c>
      <c r="G8" s="5">
        <v>113</v>
      </c>
      <c r="H8" s="5">
        <f t="shared" si="2"/>
        <v>135.6</v>
      </c>
      <c r="I8" s="5">
        <f t="shared" si="3"/>
        <v>9</v>
      </c>
      <c r="J8" s="5">
        <f t="shared" si="4"/>
        <v>0</v>
      </c>
      <c r="K8" s="5">
        <f t="shared" ref="K8:K17" si="8">ROUND(I8/C8*E8,0)</f>
        <v>0</v>
      </c>
      <c r="L8" s="5">
        <f t="shared" si="0"/>
        <v>0</v>
      </c>
      <c r="M8" s="5">
        <f t="shared" si="1"/>
        <v>9</v>
      </c>
    </row>
    <row r="9" ht="21" customHeight="true" spans="1:13">
      <c r="A9" s="3" t="s">
        <v>26</v>
      </c>
      <c r="B9" s="5" t="str">
        <f>住房保障绩效系数!D7</f>
        <v>0.8</v>
      </c>
      <c r="C9" s="5">
        <f t="shared" ref="C9:C10" si="9">D9+E9+F9+G9-E9</f>
        <v>230</v>
      </c>
      <c r="D9" s="5">
        <v>0</v>
      </c>
      <c r="E9" s="5">
        <v>180</v>
      </c>
      <c r="F9" s="5">
        <v>0</v>
      </c>
      <c r="G9" s="5">
        <v>230</v>
      </c>
      <c r="H9" s="5">
        <f t="shared" si="2"/>
        <v>184</v>
      </c>
      <c r="I9" s="5">
        <f t="shared" si="3"/>
        <v>12</v>
      </c>
      <c r="J9" s="5">
        <f t="shared" si="4"/>
        <v>0</v>
      </c>
      <c r="K9" s="5">
        <f t="shared" ref="K9:K10" si="10">ROUND(I9/C9*(E9-E9),0)</f>
        <v>0</v>
      </c>
      <c r="L9" s="5">
        <f t="shared" si="0"/>
        <v>0</v>
      </c>
      <c r="M9" s="5">
        <f t="shared" si="1"/>
        <v>12</v>
      </c>
    </row>
    <row r="10" ht="21" customHeight="true" spans="1:13">
      <c r="A10" s="3" t="s">
        <v>27</v>
      </c>
      <c r="B10" s="5" t="str">
        <f>住房保障绩效系数!D8</f>
        <v>1</v>
      </c>
      <c r="C10" s="5">
        <f t="shared" si="9"/>
        <v>354</v>
      </c>
      <c r="D10" s="5">
        <v>0</v>
      </c>
      <c r="E10" s="5">
        <v>200</v>
      </c>
      <c r="F10" s="5">
        <v>0</v>
      </c>
      <c r="G10" s="5">
        <v>354</v>
      </c>
      <c r="H10" s="5">
        <f t="shared" si="2"/>
        <v>354</v>
      </c>
      <c r="I10" s="5">
        <f t="shared" si="3"/>
        <v>23</v>
      </c>
      <c r="J10" s="5">
        <f t="shared" si="4"/>
        <v>0</v>
      </c>
      <c r="K10" s="5">
        <f t="shared" si="10"/>
        <v>0</v>
      </c>
      <c r="L10" s="5">
        <f t="shared" si="0"/>
        <v>0</v>
      </c>
      <c r="M10" s="5">
        <f t="shared" si="1"/>
        <v>23</v>
      </c>
    </row>
    <row r="11" ht="21" customHeight="true" spans="1:13">
      <c r="A11" s="3" t="s">
        <v>28</v>
      </c>
      <c r="B11" s="5" t="str">
        <f>住房保障绩效系数!D9</f>
        <v>1</v>
      </c>
      <c r="C11" s="5">
        <f t="shared" si="7"/>
        <v>4946</v>
      </c>
      <c r="D11" s="5">
        <v>4421</v>
      </c>
      <c r="E11" s="5">
        <v>210</v>
      </c>
      <c r="F11" s="5">
        <v>0</v>
      </c>
      <c r="G11" s="5">
        <v>315</v>
      </c>
      <c r="H11" s="5">
        <f t="shared" si="2"/>
        <v>4946</v>
      </c>
      <c r="I11" s="5">
        <f t="shared" si="3"/>
        <v>321</v>
      </c>
      <c r="J11" s="5">
        <f t="shared" si="4"/>
        <v>287</v>
      </c>
      <c r="K11" s="5">
        <f t="shared" si="8"/>
        <v>14</v>
      </c>
      <c r="L11" s="5">
        <f t="shared" si="0"/>
        <v>0</v>
      </c>
      <c r="M11" s="5">
        <f t="shared" si="1"/>
        <v>20</v>
      </c>
    </row>
    <row r="12" ht="21" customHeight="true" spans="1:13">
      <c r="A12" s="3" t="s">
        <v>29</v>
      </c>
      <c r="B12" s="5" t="str">
        <f>住房保障绩效系数!D10</f>
        <v>1</v>
      </c>
      <c r="C12" s="5">
        <f t="shared" ref="C12:C16" si="11">D12+E12+F12+G12-E12</f>
        <v>926</v>
      </c>
      <c r="D12" s="5">
        <v>0</v>
      </c>
      <c r="E12" s="5">
        <v>0</v>
      </c>
      <c r="F12" s="5">
        <v>0</v>
      </c>
      <c r="G12" s="5">
        <v>926</v>
      </c>
      <c r="H12" s="5">
        <f t="shared" si="2"/>
        <v>926</v>
      </c>
      <c r="I12" s="5">
        <f t="shared" si="3"/>
        <v>60</v>
      </c>
      <c r="J12" s="5">
        <f t="shared" si="4"/>
        <v>0</v>
      </c>
      <c r="K12" s="5">
        <f t="shared" ref="K12:K16" si="12">ROUND(I12/C12*(E12-E12),0)</f>
        <v>0</v>
      </c>
      <c r="L12" s="5">
        <f t="shared" si="0"/>
        <v>0</v>
      </c>
      <c r="M12" s="5">
        <f t="shared" si="1"/>
        <v>60</v>
      </c>
    </row>
    <row r="13" ht="21" customHeight="true" spans="1:13">
      <c r="A13" s="3" t="s">
        <v>30</v>
      </c>
      <c r="B13" s="5" t="str">
        <f>住房保障绩效系数!D11</f>
        <v>1</v>
      </c>
      <c r="C13" s="5">
        <f t="shared" si="11"/>
        <v>17000</v>
      </c>
      <c r="D13" s="5">
        <v>15000</v>
      </c>
      <c r="E13" s="5">
        <v>0</v>
      </c>
      <c r="F13" s="5">
        <v>500</v>
      </c>
      <c r="G13" s="5">
        <v>1500</v>
      </c>
      <c r="H13" s="5">
        <f t="shared" si="2"/>
        <v>17000</v>
      </c>
      <c r="I13" s="5">
        <f t="shared" si="3"/>
        <v>1102</v>
      </c>
      <c r="J13" s="5">
        <f t="shared" si="4"/>
        <v>972</v>
      </c>
      <c r="K13" s="5">
        <f t="shared" si="12"/>
        <v>0</v>
      </c>
      <c r="L13" s="5">
        <f t="shared" si="0"/>
        <v>32</v>
      </c>
      <c r="M13" s="5">
        <f t="shared" si="1"/>
        <v>97</v>
      </c>
    </row>
    <row r="14" ht="21" customHeight="true" spans="1:13">
      <c r="A14" s="3" t="s">
        <v>31</v>
      </c>
      <c r="B14" s="5" t="str">
        <f>住房保障绩效系数!D12</f>
        <v>1</v>
      </c>
      <c r="C14" s="5">
        <f t="shared" si="11"/>
        <v>9280</v>
      </c>
      <c r="D14" s="5">
        <v>9000</v>
      </c>
      <c r="E14" s="5">
        <v>315</v>
      </c>
      <c r="F14" s="5">
        <v>0</v>
      </c>
      <c r="G14" s="5">
        <v>280</v>
      </c>
      <c r="H14" s="5">
        <f t="shared" si="2"/>
        <v>9280</v>
      </c>
      <c r="I14" s="5">
        <f t="shared" si="3"/>
        <v>602</v>
      </c>
      <c r="J14" s="5">
        <f t="shared" si="4"/>
        <v>584</v>
      </c>
      <c r="K14" s="5">
        <f t="shared" si="12"/>
        <v>0</v>
      </c>
      <c r="L14" s="5">
        <f t="shared" si="0"/>
        <v>0</v>
      </c>
      <c r="M14" s="5">
        <f t="shared" si="1"/>
        <v>18</v>
      </c>
    </row>
    <row r="15" ht="21" customHeight="true" spans="1:13">
      <c r="A15" s="3" t="s">
        <v>32</v>
      </c>
      <c r="B15" s="5" t="str">
        <f>住房保障绩效系数!D13</f>
        <v>1</v>
      </c>
      <c r="C15" s="5">
        <f t="shared" si="11"/>
        <v>3678</v>
      </c>
      <c r="D15" s="5">
        <v>3328</v>
      </c>
      <c r="E15" s="5">
        <v>0</v>
      </c>
      <c r="F15" s="5">
        <v>0</v>
      </c>
      <c r="G15" s="5">
        <v>350</v>
      </c>
      <c r="H15" s="5">
        <f t="shared" si="2"/>
        <v>3678</v>
      </c>
      <c r="I15" s="5">
        <f t="shared" si="3"/>
        <v>239</v>
      </c>
      <c r="J15" s="5">
        <f t="shared" si="4"/>
        <v>216</v>
      </c>
      <c r="K15" s="5">
        <f t="shared" si="12"/>
        <v>0</v>
      </c>
      <c r="L15" s="5">
        <f t="shared" si="0"/>
        <v>0</v>
      </c>
      <c r="M15" s="5">
        <f t="shared" si="1"/>
        <v>23</v>
      </c>
    </row>
    <row r="16" ht="21" customHeight="true" spans="1:13">
      <c r="A16" s="3" t="s">
        <v>33</v>
      </c>
      <c r="B16" s="5" t="str">
        <f>住房保障绩效系数!D14</f>
        <v>1.2</v>
      </c>
      <c r="C16" s="5">
        <f t="shared" si="11"/>
        <v>217</v>
      </c>
      <c r="D16" s="5">
        <v>0</v>
      </c>
      <c r="E16" s="5">
        <v>0</v>
      </c>
      <c r="F16" s="5">
        <v>0</v>
      </c>
      <c r="G16" s="5">
        <v>217</v>
      </c>
      <c r="H16" s="5">
        <f t="shared" si="2"/>
        <v>260.4</v>
      </c>
      <c r="I16" s="5">
        <f t="shared" si="3"/>
        <v>17</v>
      </c>
      <c r="J16" s="5">
        <f t="shared" si="4"/>
        <v>0</v>
      </c>
      <c r="K16" s="5">
        <f t="shared" si="12"/>
        <v>0</v>
      </c>
      <c r="L16" s="5">
        <f t="shared" si="0"/>
        <v>0</v>
      </c>
      <c r="M16" s="5">
        <f t="shared" si="1"/>
        <v>17</v>
      </c>
    </row>
    <row r="17" ht="21" customHeight="true" spans="1:13">
      <c r="A17" s="3" t="s">
        <v>34</v>
      </c>
      <c r="B17" s="5" t="str">
        <f>住房保障绩效系数!D15</f>
        <v>1</v>
      </c>
      <c r="C17" s="5">
        <f t="shared" si="7"/>
        <v>4467</v>
      </c>
      <c r="D17" s="5">
        <v>2133</v>
      </c>
      <c r="E17" s="5">
        <v>1334</v>
      </c>
      <c r="F17" s="5">
        <v>0</v>
      </c>
      <c r="G17" s="5">
        <v>1000</v>
      </c>
      <c r="H17" s="5">
        <f t="shared" si="2"/>
        <v>4467</v>
      </c>
      <c r="I17" s="5">
        <f t="shared" si="3"/>
        <v>290</v>
      </c>
      <c r="J17" s="5">
        <f t="shared" si="4"/>
        <v>138</v>
      </c>
      <c r="K17" s="5">
        <f t="shared" si="8"/>
        <v>87</v>
      </c>
      <c r="L17" s="5">
        <f t="shared" si="0"/>
        <v>0</v>
      </c>
      <c r="M17" s="5">
        <f t="shared" si="1"/>
        <v>65</v>
      </c>
    </row>
    <row r="18" ht="21" customHeight="true" spans="1:13">
      <c r="A18" s="3" t="s">
        <v>35</v>
      </c>
      <c r="B18" s="5" t="str">
        <f>住房保障绩效系数!D16</f>
        <v>1</v>
      </c>
      <c r="C18" s="5">
        <f t="shared" ref="C18:C23" si="13">D18+E18+F18+G18-E18</f>
        <v>2134</v>
      </c>
      <c r="D18" s="5">
        <v>284</v>
      </c>
      <c r="E18" s="5">
        <v>0</v>
      </c>
      <c r="F18" s="5">
        <v>0</v>
      </c>
      <c r="G18" s="5">
        <v>1850</v>
      </c>
      <c r="H18" s="5">
        <f t="shared" si="2"/>
        <v>2134</v>
      </c>
      <c r="I18" s="5">
        <f t="shared" si="3"/>
        <v>138</v>
      </c>
      <c r="J18" s="5">
        <f t="shared" si="4"/>
        <v>18</v>
      </c>
      <c r="K18" s="5">
        <f t="shared" ref="K18:K23" si="14">ROUND(I18/C18*(E18-E18),0)</f>
        <v>0</v>
      </c>
      <c r="L18" s="5">
        <f t="shared" si="0"/>
        <v>0</v>
      </c>
      <c r="M18" s="5">
        <f t="shared" si="1"/>
        <v>120</v>
      </c>
    </row>
    <row r="19" ht="21" customHeight="true" spans="1:13">
      <c r="A19" s="3" t="s">
        <v>36</v>
      </c>
      <c r="B19" s="5" t="str">
        <f>住房保障绩效系数!D17</f>
        <v>1.2</v>
      </c>
      <c r="C19" s="5">
        <f t="shared" si="13"/>
        <v>2267</v>
      </c>
      <c r="D19" s="5">
        <v>1877</v>
      </c>
      <c r="E19" s="5">
        <v>50</v>
      </c>
      <c r="F19" s="5">
        <v>0</v>
      </c>
      <c r="G19" s="5">
        <v>390</v>
      </c>
      <c r="H19" s="5">
        <f t="shared" si="2"/>
        <v>2720.4</v>
      </c>
      <c r="I19" s="5">
        <f t="shared" si="3"/>
        <v>176</v>
      </c>
      <c r="J19" s="5">
        <f t="shared" si="4"/>
        <v>146</v>
      </c>
      <c r="K19" s="5">
        <f t="shared" si="14"/>
        <v>0</v>
      </c>
      <c r="L19" s="5">
        <f t="shared" si="0"/>
        <v>0</v>
      </c>
      <c r="M19" s="5">
        <f t="shared" si="1"/>
        <v>30</v>
      </c>
    </row>
    <row r="20" ht="21" customHeight="true" spans="1:13">
      <c r="A20" s="3" t="s">
        <v>37</v>
      </c>
      <c r="B20" s="5" t="str">
        <f>住房保障绩效系数!D18</f>
        <v>1.2</v>
      </c>
      <c r="C20" s="5">
        <f t="shared" si="13"/>
        <v>1668</v>
      </c>
      <c r="D20" s="5">
        <v>0</v>
      </c>
      <c r="E20" s="5">
        <v>0</v>
      </c>
      <c r="F20" s="5">
        <v>0</v>
      </c>
      <c r="G20" s="5">
        <v>1668</v>
      </c>
      <c r="H20" s="5">
        <f t="shared" si="2"/>
        <v>2001.6</v>
      </c>
      <c r="I20" s="5">
        <f t="shared" si="3"/>
        <v>130</v>
      </c>
      <c r="J20" s="5">
        <f t="shared" si="4"/>
        <v>0</v>
      </c>
      <c r="K20" s="5">
        <f t="shared" si="14"/>
        <v>0</v>
      </c>
      <c r="L20" s="5">
        <f t="shared" si="0"/>
        <v>0</v>
      </c>
      <c r="M20" s="5">
        <f t="shared" si="1"/>
        <v>130</v>
      </c>
    </row>
    <row r="21" ht="21" customHeight="true" spans="1:18">
      <c r="A21" s="3" t="s">
        <v>38</v>
      </c>
      <c r="B21" s="5" t="str">
        <f>住房保障绩效系数!D19</f>
        <v>1</v>
      </c>
      <c r="C21" s="5">
        <f t="shared" si="13"/>
        <v>235</v>
      </c>
      <c r="D21" s="5">
        <v>0</v>
      </c>
      <c r="E21" s="5">
        <v>400</v>
      </c>
      <c r="F21" s="5">
        <v>0</v>
      </c>
      <c r="G21" s="5">
        <v>235</v>
      </c>
      <c r="H21" s="5">
        <f t="shared" si="2"/>
        <v>235</v>
      </c>
      <c r="I21" s="5">
        <f t="shared" si="3"/>
        <v>15</v>
      </c>
      <c r="J21" s="5">
        <f t="shared" si="4"/>
        <v>0</v>
      </c>
      <c r="K21" s="5">
        <f t="shared" si="14"/>
        <v>0</v>
      </c>
      <c r="L21" s="5">
        <f t="shared" si="0"/>
        <v>0</v>
      </c>
      <c r="M21" s="5">
        <f t="shared" si="1"/>
        <v>15</v>
      </c>
      <c r="N21" s="25"/>
      <c r="O21" s="25"/>
      <c r="P21" s="25"/>
      <c r="Q21" s="25"/>
      <c r="R21" s="25"/>
    </row>
    <row r="22" ht="21" customHeight="true" spans="1:18">
      <c r="A22" s="3" t="s">
        <v>39</v>
      </c>
      <c r="B22" s="5" t="str">
        <f>住房保障绩效系数!D20</f>
        <v>0.8</v>
      </c>
      <c r="C22" s="5">
        <f t="shared" si="13"/>
        <v>126</v>
      </c>
      <c r="D22" s="5">
        <v>0</v>
      </c>
      <c r="E22" s="5">
        <v>0</v>
      </c>
      <c r="F22" s="5">
        <v>0</v>
      </c>
      <c r="G22" s="5">
        <v>126</v>
      </c>
      <c r="H22" s="5">
        <f t="shared" si="2"/>
        <v>100.8</v>
      </c>
      <c r="I22" s="5">
        <f t="shared" si="3"/>
        <v>7</v>
      </c>
      <c r="J22" s="5">
        <f t="shared" si="4"/>
        <v>0</v>
      </c>
      <c r="K22" s="5">
        <f t="shared" si="14"/>
        <v>0</v>
      </c>
      <c r="L22" s="5">
        <f t="shared" si="0"/>
        <v>0</v>
      </c>
      <c r="M22" s="5">
        <f t="shared" si="1"/>
        <v>7</v>
      </c>
      <c r="N22" s="25"/>
      <c r="O22" s="25"/>
      <c r="P22" s="25"/>
      <c r="Q22" s="25"/>
      <c r="R22" s="25"/>
    </row>
    <row r="23" ht="21" customHeight="true" spans="1:18">
      <c r="A23" s="3" t="s">
        <v>40</v>
      </c>
      <c r="B23" s="5" t="str">
        <f>住房保障绩效系数!D21</f>
        <v>1</v>
      </c>
      <c r="C23" s="5">
        <f t="shared" si="13"/>
        <v>354</v>
      </c>
      <c r="D23" s="5">
        <v>0</v>
      </c>
      <c r="E23" s="5">
        <v>0</v>
      </c>
      <c r="F23" s="5">
        <v>0</v>
      </c>
      <c r="G23" s="5">
        <v>354</v>
      </c>
      <c r="H23" s="5">
        <f t="shared" si="2"/>
        <v>354</v>
      </c>
      <c r="I23" s="5">
        <f t="shared" si="3"/>
        <v>23</v>
      </c>
      <c r="J23" s="5">
        <f t="shared" si="4"/>
        <v>0</v>
      </c>
      <c r="K23" s="5">
        <f t="shared" si="14"/>
        <v>0</v>
      </c>
      <c r="L23" s="5">
        <f t="shared" si="0"/>
        <v>0</v>
      </c>
      <c r="M23" s="5">
        <f t="shared" si="1"/>
        <v>23</v>
      </c>
      <c r="N23" s="25"/>
      <c r="O23" s="25"/>
      <c r="P23" s="25"/>
      <c r="Q23" s="25"/>
      <c r="R23" s="25"/>
    </row>
    <row r="24" ht="21" customHeight="true" spans="1:18">
      <c r="A24" s="20" t="s">
        <v>41</v>
      </c>
      <c r="B24" s="1" t="s">
        <v>60</v>
      </c>
      <c r="C24" s="1">
        <f>SUM(C4:C23)</f>
        <v>229299</v>
      </c>
      <c r="D24" s="1">
        <f>SUM(D4:D23)</f>
        <v>169511</v>
      </c>
      <c r="E24" s="1">
        <f>SUM(E4:E23)</f>
        <v>14946</v>
      </c>
      <c r="F24" s="1">
        <f t="shared" ref="F24:G24" si="15">SUM(F4:F23)</f>
        <v>2500</v>
      </c>
      <c r="G24" s="1">
        <f t="shared" si="15"/>
        <v>47744</v>
      </c>
      <c r="H24" s="1">
        <f t="shared" ref="H24:K24" si="16">SUM(H4:H23)</f>
        <v>220122.2</v>
      </c>
      <c r="I24" s="1">
        <f t="shared" si="16"/>
        <v>14274</v>
      </c>
      <c r="J24" s="1">
        <f t="shared" si="16"/>
        <v>10594</v>
      </c>
      <c r="K24" s="1">
        <f t="shared" si="16"/>
        <v>620</v>
      </c>
      <c r="L24" s="1">
        <f t="shared" ref="L24" si="17">SUM(L4:L23)</f>
        <v>155</v>
      </c>
      <c r="M24" s="1">
        <f t="shared" ref="M24" si="18">SUM(M4:M23)</f>
        <v>2904</v>
      </c>
      <c r="N24" s="25"/>
      <c r="O24" s="25"/>
      <c r="P24" s="25"/>
      <c r="Q24" s="25"/>
      <c r="R24" s="25"/>
    </row>
    <row r="25" ht="72.75" customHeight="true" spans="1:18">
      <c r="A25" s="21" t="s">
        <v>75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6"/>
      <c r="O25" s="26"/>
      <c r="P25" s="26"/>
      <c r="Q25" s="26"/>
      <c r="R25" s="26"/>
    </row>
  </sheetData>
  <mergeCells count="2">
    <mergeCell ref="A1:M1"/>
    <mergeCell ref="A25:M25"/>
  </mergeCells>
  <pageMargins left="0.393700787401575" right="0.393700787401575" top="0.78740157480315" bottom="0.78740157480315" header="0.393700787401575" footer="0.393700787401575"/>
  <pageSetup paperSize="9" orientation="portrait"/>
  <headerFooter/>
  <ignoredErrors>
    <ignoredError sqref="K4" formula="true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X11" sqref="X11"/>
    </sheetView>
  </sheetViews>
  <sheetFormatPr defaultColWidth="9" defaultRowHeight="14.25"/>
  <cols>
    <col min="1" max="2" width="10.6266666666667" style="6" customWidth="true"/>
    <col min="3" max="5" width="12.6266666666667" style="6" customWidth="true"/>
    <col min="6" max="6" width="7.5" style="6" hidden="true" customWidth="true"/>
    <col min="7" max="8" width="14.6266666666667" style="6" hidden="true" customWidth="true"/>
    <col min="9" max="9" width="14.6266666666667" style="6" customWidth="true"/>
    <col min="10" max="16384" width="9" style="6"/>
  </cols>
  <sheetData>
    <row r="1" ht="48" customHeight="true" spans="1:9">
      <c r="A1" s="18" t="s">
        <v>76</v>
      </c>
      <c r="B1" s="18"/>
      <c r="C1" s="18"/>
      <c r="D1" s="18"/>
      <c r="E1" s="18"/>
      <c r="F1" s="18"/>
      <c r="G1" s="18"/>
      <c r="H1" s="18"/>
      <c r="I1" s="18"/>
    </row>
    <row r="2" ht="20.25" customHeight="true" spans="1:9">
      <c r="A2" s="18"/>
      <c r="B2" s="18"/>
      <c r="C2" s="18"/>
      <c r="D2" s="18"/>
      <c r="E2" s="18"/>
      <c r="F2" s="18"/>
      <c r="G2" s="22"/>
      <c r="H2" s="22"/>
      <c r="I2" s="22" t="s">
        <v>1</v>
      </c>
    </row>
    <row r="3" ht="61.5" customHeight="true" spans="1:9">
      <c r="A3" s="2" t="s">
        <v>3</v>
      </c>
      <c r="B3" s="2" t="s">
        <v>68</v>
      </c>
      <c r="C3" s="2" t="s">
        <v>77</v>
      </c>
      <c r="D3" s="2" t="s">
        <v>78</v>
      </c>
      <c r="E3" s="2" t="s">
        <v>79</v>
      </c>
      <c r="F3" s="2" t="s">
        <v>53</v>
      </c>
      <c r="G3" s="2" t="s">
        <v>80</v>
      </c>
      <c r="H3" s="2" t="s">
        <v>81</v>
      </c>
      <c r="I3" s="2" t="s">
        <v>72</v>
      </c>
    </row>
    <row r="4" ht="21" customHeight="true" spans="1:9">
      <c r="A4" s="3" t="s">
        <v>21</v>
      </c>
      <c r="B4" s="5" t="str">
        <f>危旧房绩效系数!D2</f>
        <v>1.2</v>
      </c>
      <c r="C4" s="17">
        <v>0</v>
      </c>
      <c r="D4" s="4">
        <v>0</v>
      </c>
      <c r="E4" s="4">
        <f>C4+D4</f>
        <v>0</v>
      </c>
      <c r="F4" s="5">
        <f>B4*(C4+D4)</f>
        <v>0</v>
      </c>
      <c r="G4" s="5">
        <f>ROUND(F4/$F$24*10178,0)</f>
        <v>0</v>
      </c>
      <c r="H4" s="23">
        <f>危旧房任务资金!E4</f>
        <v>0</v>
      </c>
      <c r="I4" s="24">
        <f>G4-H4</f>
        <v>0</v>
      </c>
    </row>
    <row r="5" ht="21" customHeight="true" spans="1:9">
      <c r="A5" s="3" t="s">
        <v>22</v>
      </c>
      <c r="B5" s="5" t="str">
        <f>危旧房绩效系数!D3</f>
        <v>1</v>
      </c>
      <c r="C5" s="17">
        <v>0</v>
      </c>
      <c r="D5" s="19">
        <v>1</v>
      </c>
      <c r="E5" s="4">
        <f t="shared" ref="E5:E23" si="0">C5+D5</f>
        <v>1</v>
      </c>
      <c r="F5" s="5">
        <f t="shared" ref="F5:F23" si="1">B5*(C5+D5)</f>
        <v>1</v>
      </c>
      <c r="G5" s="5">
        <f t="shared" ref="G5:G23" si="2">ROUND(F5/$F$24*10178,0)</f>
        <v>5</v>
      </c>
      <c r="H5" s="23">
        <f>危旧房任务资金!E5</f>
        <v>0</v>
      </c>
      <c r="I5" s="24">
        <f t="shared" ref="I5:I23" si="3">G5-H5</f>
        <v>5</v>
      </c>
    </row>
    <row r="6" ht="21" customHeight="true" spans="1:9">
      <c r="A6" s="3" t="s">
        <v>23</v>
      </c>
      <c r="B6" s="5" t="str">
        <f>危旧房绩效系数!D4</f>
        <v>1</v>
      </c>
      <c r="C6" s="17">
        <v>7</v>
      </c>
      <c r="D6" s="19">
        <v>118</v>
      </c>
      <c r="E6" s="4">
        <f t="shared" si="0"/>
        <v>125</v>
      </c>
      <c r="F6" s="5">
        <f t="shared" si="1"/>
        <v>125</v>
      </c>
      <c r="G6" s="5">
        <f t="shared" si="2"/>
        <v>581</v>
      </c>
      <c r="H6" s="23">
        <f>危旧房任务资金!E6</f>
        <v>22</v>
      </c>
      <c r="I6" s="24">
        <f t="shared" si="3"/>
        <v>559</v>
      </c>
    </row>
    <row r="7" ht="21" customHeight="true" spans="1:9">
      <c r="A7" s="3" t="s">
        <v>24</v>
      </c>
      <c r="B7" s="5" t="str">
        <f>危旧房绩效系数!D5</f>
        <v>1</v>
      </c>
      <c r="C7" s="17">
        <v>3</v>
      </c>
      <c r="D7" s="19">
        <v>0</v>
      </c>
      <c r="E7" s="4">
        <f t="shared" si="0"/>
        <v>3</v>
      </c>
      <c r="F7" s="5">
        <f t="shared" si="1"/>
        <v>3</v>
      </c>
      <c r="G7" s="5">
        <f t="shared" si="2"/>
        <v>14</v>
      </c>
      <c r="H7" s="23">
        <f>危旧房任务资金!E7</f>
        <v>8</v>
      </c>
      <c r="I7" s="24">
        <f t="shared" si="3"/>
        <v>6</v>
      </c>
    </row>
    <row r="8" ht="21" customHeight="true" spans="1:9">
      <c r="A8" s="3" t="s">
        <v>25</v>
      </c>
      <c r="B8" s="5" t="str">
        <f>危旧房绩效系数!D6</f>
        <v>1.2</v>
      </c>
      <c r="C8" s="17">
        <v>178</v>
      </c>
      <c r="D8" s="19">
        <v>164</v>
      </c>
      <c r="E8" s="4">
        <f t="shared" si="0"/>
        <v>342</v>
      </c>
      <c r="F8" s="5">
        <f t="shared" si="1"/>
        <v>410.4</v>
      </c>
      <c r="G8" s="5">
        <f t="shared" si="2"/>
        <v>1906</v>
      </c>
      <c r="H8" s="23">
        <f>危旧房任务资金!E8</f>
        <v>519</v>
      </c>
      <c r="I8" s="24">
        <f t="shared" si="3"/>
        <v>1387</v>
      </c>
    </row>
    <row r="9" ht="21" customHeight="true" spans="1:9">
      <c r="A9" s="3" t="s">
        <v>26</v>
      </c>
      <c r="B9" s="5" t="str">
        <f>危旧房绩效系数!D7</f>
        <v>1</v>
      </c>
      <c r="C9" s="17">
        <v>0</v>
      </c>
      <c r="D9" s="19">
        <v>30</v>
      </c>
      <c r="E9" s="4">
        <f t="shared" si="0"/>
        <v>30</v>
      </c>
      <c r="F9" s="5">
        <f t="shared" si="1"/>
        <v>30</v>
      </c>
      <c r="G9" s="5">
        <f t="shared" si="2"/>
        <v>139</v>
      </c>
      <c r="H9" s="23">
        <f>危旧房任务资金!E9</f>
        <v>0</v>
      </c>
      <c r="I9" s="24">
        <f t="shared" si="3"/>
        <v>139</v>
      </c>
    </row>
    <row r="10" ht="21" customHeight="true" spans="1:9">
      <c r="A10" s="3" t="s">
        <v>27</v>
      </c>
      <c r="B10" s="5" t="str">
        <f>危旧房绩效系数!D8</f>
        <v>1</v>
      </c>
      <c r="C10" s="17">
        <v>0</v>
      </c>
      <c r="D10" s="19">
        <v>128</v>
      </c>
      <c r="E10" s="4">
        <f t="shared" si="0"/>
        <v>128</v>
      </c>
      <c r="F10" s="5">
        <f t="shared" si="1"/>
        <v>128</v>
      </c>
      <c r="G10" s="5">
        <f t="shared" si="2"/>
        <v>595</v>
      </c>
      <c r="H10" s="23">
        <f>危旧房任务资金!E10</f>
        <v>0</v>
      </c>
      <c r="I10" s="24">
        <f t="shared" si="3"/>
        <v>595</v>
      </c>
    </row>
    <row r="11" ht="21" customHeight="true" spans="1:9">
      <c r="A11" s="3" t="s">
        <v>28</v>
      </c>
      <c r="B11" s="5" t="str">
        <f>危旧房绩效系数!D9</f>
        <v>1</v>
      </c>
      <c r="C11" s="17">
        <v>0</v>
      </c>
      <c r="D11" s="19">
        <v>41</v>
      </c>
      <c r="E11" s="4">
        <f t="shared" si="0"/>
        <v>41</v>
      </c>
      <c r="F11" s="5">
        <f t="shared" si="1"/>
        <v>41</v>
      </c>
      <c r="G11" s="5">
        <f t="shared" si="2"/>
        <v>190</v>
      </c>
      <c r="H11" s="23">
        <f>危旧房任务资金!E11</f>
        <v>0</v>
      </c>
      <c r="I11" s="24">
        <f t="shared" si="3"/>
        <v>190</v>
      </c>
    </row>
    <row r="12" ht="21" customHeight="true" spans="1:9">
      <c r="A12" s="3" t="s">
        <v>29</v>
      </c>
      <c r="B12" s="5">
        <f>危旧房绩效系数!D10</f>
        <v>0</v>
      </c>
      <c r="C12" s="17">
        <v>0</v>
      </c>
      <c r="D12" s="19">
        <v>0</v>
      </c>
      <c r="E12" s="4">
        <f t="shared" si="0"/>
        <v>0</v>
      </c>
      <c r="F12" s="5">
        <f t="shared" si="1"/>
        <v>0</v>
      </c>
      <c r="G12" s="5">
        <f t="shared" si="2"/>
        <v>0</v>
      </c>
      <c r="H12" s="23">
        <f>危旧房任务资金!E12</f>
        <v>0</v>
      </c>
      <c r="I12" s="24">
        <f t="shared" si="3"/>
        <v>0</v>
      </c>
    </row>
    <row r="13" ht="21" customHeight="true" spans="1:9">
      <c r="A13" s="3" t="s">
        <v>30</v>
      </c>
      <c r="B13" s="5" t="str">
        <f>危旧房绩效系数!D11</f>
        <v>1.2</v>
      </c>
      <c r="C13" s="17">
        <v>0</v>
      </c>
      <c r="D13" s="19">
        <v>1058</v>
      </c>
      <c r="E13" s="4">
        <f t="shared" si="0"/>
        <v>1058</v>
      </c>
      <c r="F13" s="5">
        <f t="shared" si="1"/>
        <v>1269.6</v>
      </c>
      <c r="G13" s="5">
        <f t="shared" si="2"/>
        <v>5897</v>
      </c>
      <c r="H13" s="23">
        <f>危旧房任务资金!E13</f>
        <v>0</v>
      </c>
      <c r="I13" s="24">
        <f t="shared" si="3"/>
        <v>5897</v>
      </c>
    </row>
    <row r="14" ht="21" customHeight="true" spans="1:9">
      <c r="A14" s="3" t="s">
        <v>31</v>
      </c>
      <c r="B14" s="5" t="str">
        <f>危旧房绩效系数!D12</f>
        <v>1</v>
      </c>
      <c r="C14" s="17">
        <v>0</v>
      </c>
      <c r="D14" s="19">
        <v>3</v>
      </c>
      <c r="E14" s="4">
        <f t="shared" si="0"/>
        <v>3</v>
      </c>
      <c r="F14" s="5">
        <f t="shared" si="1"/>
        <v>3</v>
      </c>
      <c r="G14" s="5">
        <f t="shared" si="2"/>
        <v>14</v>
      </c>
      <c r="H14" s="23">
        <f>危旧房任务资金!E14</f>
        <v>0</v>
      </c>
      <c r="I14" s="24">
        <f t="shared" si="3"/>
        <v>14</v>
      </c>
    </row>
    <row r="15" ht="21" customHeight="true" spans="1:9">
      <c r="A15" s="3" t="s">
        <v>32</v>
      </c>
      <c r="B15" s="5" t="str">
        <f>危旧房绩效系数!D13</f>
        <v>1.2</v>
      </c>
      <c r="C15" s="17">
        <v>20</v>
      </c>
      <c r="D15" s="19">
        <v>0</v>
      </c>
      <c r="E15" s="4">
        <f t="shared" si="0"/>
        <v>20</v>
      </c>
      <c r="F15" s="5">
        <f t="shared" si="1"/>
        <v>24</v>
      </c>
      <c r="G15" s="5">
        <f t="shared" si="2"/>
        <v>111</v>
      </c>
      <c r="H15" s="23">
        <f>危旧房任务资金!E15</f>
        <v>59</v>
      </c>
      <c r="I15" s="24">
        <f t="shared" si="3"/>
        <v>52</v>
      </c>
    </row>
    <row r="16" ht="21" customHeight="true" spans="1:9">
      <c r="A16" s="3" t="s">
        <v>33</v>
      </c>
      <c r="B16" s="5" t="str">
        <f>危旧房绩效系数!D14</f>
        <v>1</v>
      </c>
      <c r="C16" s="17">
        <v>0</v>
      </c>
      <c r="D16" s="19">
        <v>48</v>
      </c>
      <c r="E16" s="4">
        <f t="shared" si="0"/>
        <v>48</v>
      </c>
      <c r="F16" s="5">
        <f t="shared" si="1"/>
        <v>48</v>
      </c>
      <c r="G16" s="5">
        <f t="shared" si="2"/>
        <v>223</v>
      </c>
      <c r="H16" s="23">
        <f>危旧房任务资金!E16</f>
        <v>0</v>
      </c>
      <c r="I16" s="24">
        <f t="shared" si="3"/>
        <v>223</v>
      </c>
    </row>
    <row r="17" ht="21" customHeight="true" spans="1:9">
      <c r="A17" s="3" t="s">
        <v>34</v>
      </c>
      <c r="B17" s="5" t="str">
        <f>危旧房绩效系数!D15</f>
        <v>1</v>
      </c>
      <c r="C17" s="17">
        <v>0</v>
      </c>
      <c r="D17" s="19">
        <v>3</v>
      </c>
      <c r="E17" s="4">
        <f t="shared" si="0"/>
        <v>3</v>
      </c>
      <c r="F17" s="5">
        <f t="shared" si="1"/>
        <v>3</v>
      </c>
      <c r="G17" s="5">
        <f t="shared" si="2"/>
        <v>14</v>
      </c>
      <c r="H17" s="23">
        <f>危旧房任务资金!E17</f>
        <v>0</v>
      </c>
      <c r="I17" s="24">
        <f t="shared" si="3"/>
        <v>14</v>
      </c>
    </row>
    <row r="18" ht="21" customHeight="true" spans="1:9">
      <c r="A18" s="3" t="s">
        <v>35</v>
      </c>
      <c r="B18" s="5" t="str">
        <f>危旧房绩效系数!D16</f>
        <v>1</v>
      </c>
      <c r="C18" s="17">
        <v>0</v>
      </c>
      <c r="D18" s="19">
        <v>9</v>
      </c>
      <c r="E18" s="4">
        <f t="shared" si="0"/>
        <v>9</v>
      </c>
      <c r="F18" s="5">
        <f t="shared" si="1"/>
        <v>9</v>
      </c>
      <c r="G18" s="5">
        <f t="shared" si="2"/>
        <v>42</v>
      </c>
      <c r="H18" s="23">
        <f>危旧房任务资金!E18</f>
        <v>0</v>
      </c>
      <c r="I18" s="24">
        <f t="shared" si="3"/>
        <v>42</v>
      </c>
    </row>
    <row r="19" ht="21" customHeight="true" spans="1:9">
      <c r="A19" s="3" t="s">
        <v>36</v>
      </c>
      <c r="B19" s="5" t="str">
        <f>危旧房绩效系数!D17</f>
        <v>1.2</v>
      </c>
      <c r="C19" s="17">
        <v>12</v>
      </c>
      <c r="D19" s="19">
        <v>0</v>
      </c>
      <c r="E19" s="4">
        <f t="shared" si="0"/>
        <v>12</v>
      </c>
      <c r="F19" s="5">
        <f t="shared" si="1"/>
        <v>14.4</v>
      </c>
      <c r="G19" s="5">
        <f t="shared" si="2"/>
        <v>67</v>
      </c>
      <c r="H19" s="23">
        <f>危旧房任务资金!E19</f>
        <v>35</v>
      </c>
      <c r="I19" s="24">
        <f t="shared" si="3"/>
        <v>32</v>
      </c>
    </row>
    <row r="20" ht="21" customHeight="true" spans="1:9">
      <c r="A20" s="3" t="s">
        <v>37</v>
      </c>
      <c r="B20" s="5" t="str">
        <f>危旧房绩效系数!D18</f>
        <v>1</v>
      </c>
      <c r="C20" s="17">
        <v>0</v>
      </c>
      <c r="D20" s="19">
        <v>38</v>
      </c>
      <c r="E20" s="4">
        <f t="shared" si="0"/>
        <v>38</v>
      </c>
      <c r="F20" s="5">
        <f t="shared" si="1"/>
        <v>38</v>
      </c>
      <c r="G20" s="5">
        <f t="shared" si="2"/>
        <v>177</v>
      </c>
      <c r="H20" s="23">
        <f>危旧房任务资金!E20</f>
        <v>0</v>
      </c>
      <c r="I20" s="24">
        <f t="shared" si="3"/>
        <v>177</v>
      </c>
    </row>
    <row r="21" ht="21" customHeight="true" spans="1:10">
      <c r="A21" s="3" t="s">
        <v>38</v>
      </c>
      <c r="B21" s="5" t="str">
        <f>危旧房绩效系数!D19</f>
        <v>1.2</v>
      </c>
      <c r="C21" s="17">
        <v>6</v>
      </c>
      <c r="D21" s="19">
        <v>3</v>
      </c>
      <c r="E21" s="4">
        <f t="shared" si="0"/>
        <v>9</v>
      </c>
      <c r="F21" s="5">
        <f t="shared" si="1"/>
        <v>10.8</v>
      </c>
      <c r="G21" s="5">
        <f t="shared" si="2"/>
        <v>50</v>
      </c>
      <c r="H21" s="23">
        <f>危旧房任务资金!E21</f>
        <v>19</v>
      </c>
      <c r="I21" s="24">
        <f t="shared" si="3"/>
        <v>31</v>
      </c>
      <c r="J21" s="25"/>
    </row>
    <row r="22" ht="21" customHeight="true" spans="1:10">
      <c r="A22" s="3" t="s">
        <v>39</v>
      </c>
      <c r="B22" s="5" t="str">
        <f>危旧房绩效系数!D20</f>
        <v>1</v>
      </c>
      <c r="C22" s="17">
        <v>0</v>
      </c>
      <c r="D22" s="4">
        <v>16</v>
      </c>
      <c r="E22" s="4">
        <f t="shared" si="0"/>
        <v>16</v>
      </c>
      <c r="F22" s="5">
        <f t="shared" si="1"/>
        <v>16</v>
      </c>
      <c r="G22" s="5">
        <f t="shared" si="2"/>
        <v>74</v>
      </c>
      <c r="H22" s="23">
        <f>危旧房任务资金!E22</f>
        <v>0</v>
      </c>
      <c r="I22" s="24">
        <f t="shared" si="3"/>
        <v>74</v>
      </c>
      <c r="J22" s="25"/>
    </row>
    <row r="23" ht="21" customHeight="true" spans="1:10">
      <c r="A23" s="3" t="s">
        <v>40</v>
      </c>
      <c r="B23" s="5" t="str">
        <f>危旧房绩效系数!D21</f>
        <v>1</v>
      </c>
      <c r="C23" s="17">
        <v>0</v>
      </c>
      <c r="D23" s="19">
        <v>17</v>
      </c>
      <c r="E23" s="4">
        <f t="shared" si="0"/>
        <v>17</v>
      </c>
      <c r="F23" s="5">
        <f t="shared" si="1"/>
        <v>17</v>
      </c>
      <c r="G23" s="5">
        <f t="shared" si="2"/>
        <v>79</v>
      </c>
      <c r="H23" s="23">
        <f>危旧房任务资金!E23</f>
        <v>0</v>
      </c>
      <c r="I23" s="24">
        <f t="shared" si="3"/>
        <v>79</v>
      </c>
      <c r="J23" s="25"/>
    </row>
    <row r="24" ht="21" customHeight="true" spans="1:10">
      <c r="A24" s="20" t="s">
        <v>41</v>
      </c>
      <c r="B24" s="1" t="s">
        <v>60</v>
      </c>
      <c r="C24" s="1">
        <f t="shared" ref="C24:I24" si="4">SUM(C4:C23)</f>
        <v>226</v>
      </c>
      <c r="D24" s="1">
        <f t="shared" si="4"/>
        <v>1677</v>
      </c>
      <c r="E24" s="1">
        <f t="shared" si="4"/>
        <v>1903</v>
      </c>
      <c r="F24" s="1">
        <f t="shared" si="4"/>
        <v>2191.2</v>
      </c>
      <c r="G24" s="1">
        <f t="shared" ref="G24:H24" si="5">SUM(G4:G23)</f>
        <v>10178</v>
      </c>
      <c r="H24" s="1">
        <f t="shared" si="5"/>
        <v>662</v>
      </c>
      <c r="I24" s="1">
        <f t="shared" si="4"/>
        <v>9516</v>
      </c>
      <c r="J24" s="25"/>
    </row>
    <row r="25" ht="108" customHeight="true" spans="1:10">
      <c r="A25" s="21" t="s">
        <v>82</v>
      </c>
      <c r="B25" s="21"/>
      <c r="C25" s="21"/>
      <c r="D25" s="21"/>
      <c r="E25" s="21"/>
      <c r="F25" s="21"/>
      <c r="G25" s="21"/>
      <c r="H25" s="21"/>
      <c r="I25" s="21"/>
      <c r="J25" s="26"/>
    </row>
  </sheetData>
  <mergeCells count="2">
    <mergeCell ref="A1:I1"/>
    <mergeCell ref="A25:I25"/>
  </mergeCells>
  <pageMargins left="0.393700787401575" right="0.393700787401575" top="0.78740157480315" bottom="0.78740157480315" header="0.393700787401575" footer="0.393700787401575"/>
  <pageSetup paperSize="9" scale="70" orientation="portrait"/>
  <headerFooter/>
  <ignoredErrors>
    <ignoredError sqref="H4:H23" formula="true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X11" sqref="X11"/>
    </sheetView>
  </sheetViews>
  <sheetFormatPr defaultColWidth="9" defaultRowHeight="15.75"/>
  <cols>
    <col min="1" max="1" width="8.62666666666667" customWidth="true"/>
    <col min="2" max="2" width="15.6266666666667" customWidth="true"/>
    <col min="3" max="3" width="8.62666666666667" customWidth="true"/>
    <col min="5" max="5" width="5.5" customWidth="true"/>
    <col min="6" max="6" width="8.62666666666667" customWidth="true"/>
    <col min="7" max="7" width="11.2533333333333" customWidth="true"/>
    <col min="8" max="8" width="5.62666666666667" customWidth="true"/>
    <col min="9" max="9" width="8.62666666666667" customWidth="true"/>
  </cols>
  <sheetData>
    <row r="1" ht="45" customHeight="true" spans="1:9">
      <c r="A1" s="1" t="s">
        <v>3</v>
      </c>
      <c r="B1" s="1" t="s">
        <v>83</v>
      </c>
      <c r="C1" s="2" t="s">
        <v>44</v>
      </c>
      <c r="D1" s="6"/>
      <c r="E1" s="7" t="s">
        <v>84</v>
      </c>
      <c r="F1" s="7" t="s">
        <v>83</v>
      </c>
      <c r="G1" s="7" t="s">
        <v>44</v>
      </c>
      <c r="H1" s="7" t="s">
        <v>85</v>
      </c>
      <c r="I1" s="13"/>
    </row>
    <row r="2" ht="21" customHeight="true" spans="1:9">
      <c r="A2" s="3" t="s">
        <v>21</v>
      </c>
      <c r="B2" s="5">
        <v>12.4442402050545</v>
      </c>
      <c r="C2" s="5" t="str">
        <f>LOOKUP(B2,{0;2;4;6;8;30},{"1.1";"1";"0.9";"0.8";"0.7";""})</f>
        <v>0.7</v>
      </c>
      <c r="D2" s="6"/>
      <c r="E2" s="8">
        <v>1</v>
      </c>
      <c r="F2" s="8" t="s">
        <v>86</v>
      </c>
      <c r="G2" s="8">
        <v>1.1</v>
      </c>
      <c r="H2" s="8">
        <f>COUNTIF(C2:C22,G2)</f>
        <v>7</v>
      </c>
      <c r="I2" s="15" t="s">
        <v>87</v>
      </c>
    </row>
    <row r="3" ht="21" customHeight="true" spans="1:9">
      <c r="A3" s="3" t="s">
        <v>88</v>
      </c>
      <c r="B3" s="5">
        <v>21.9946290922143</v>
      </c>
      <c r="C3" s="5" t="str">
        <f>LOOKUP(B3,{0;2;4;6;8;30},{"1.1";"1";"0.9";"0.8";"0.7";""})</f>
        <v>0.7</v>
      </c>
      <c r="D3" s="6"/>
      <c r="E3" s="8">
        <v>2</v>
      </c>
      <c r="F3" s="9" t="s">
        <v>89</v>
      </c>
      <c r="G3" s="8" t="s">
        <v>90</v>
      </c>
      <c r="H3" s="8">
        <f>COUNTIF(C2:C22,1)</f>
        <v>9</v>
      </c>
      <c r="I3" s="15" t="s">
        <v>91</v>
      </c>
    </row>
    <row r="4" ht="21" customHeight="true" spans="1:9">
      <c r="A4" s="3" t="s">
        <v>22</v>
      </c>
      <c r="B4" s="5">
        <v>5.50859456916095</v>
      </c>
      <c r="C4" s="5" t="str">
        <f>LOOKUP(B4,{0;2;4;6;8;30},{"1.1";"1";"0.9";"0.8";"0.7";""})</f>
        <v>0.9</v>
      </c>
      <c r="D4" s="6"/>
      <c r="E4" s="8">
        <v>3</v>
      </c>
      <c r="F4" s="9" t="s">
        <v>92</v>
      </c>
      <c r="G4" s="8">
        <v>0.9</v>
      </c>
      <c r="H4" s="8">
        <f>COUNTIF(C2:C22,G4)</f>
        <v>3</v>
      </c>
      <c r="I4" s="15" t="s">
        <v>93</v>
      </c>
    </row>
    <row r="5" ht="21" customHeight="true" spans="1:9">
      <c r="A5" s="3" t="s">
        <v>23</v>
      </c>
      <c r="B5" s="5">
        <v>1.83754521830591</v>
      </c>
      <c r="C5" s="5" t="str">
        <f>LOOKUP(B5,{0;2;4;6;8;30},{"1.1";"1";"0.9";"0.8";"0.7";""})</f>
        <v>1.1</v>
      </c>
      <c r="D5" s="6"/>
      <c r="E5" s="8">
        <v>4</v>
      </c>
      <c r="F5" s="9" t="s">
        <v>94</v>
      </c>
      <c r="G5" s="8">
        <v>0.8</v>
      </c>
      <c r="H5" s="8">
        <f>COUNTIF(C2:C22,G5)</f>
        <v>0</v>
      </c>
      <c r="I5" s="15" t="s">
        <v>95</v>
      </c>
    </row>
    <row r="6" ht="21" customHeight="true" spans="1:9">
      <c r="A6" s="3" t="s">
        <v>24</v>
      </c>
      <c r="B6" s="5">
        <v>5.08072868693486</v>
      </c>
      <c r="C6" s="5" t="str">
        <f>LOOKUP(B6,{0;2;4;6;8;30},{"1.1";"1";"0.9";"0.8";"0.7";""})</f>
        <v>0.9</v>
      </c>
      <c r="D6" s="6"/>
      <c r="E6" s="8">
        <v>5</v>
      </c>
      <c r="F6" s="8" t="s">
        <v>96</v>
      </c>
      <c r="G6" s="8">
        <v>0.7</v>
      </c>
      <c r="H6" s="8">
        <f>COUNTIF(C2:C22,G6)</f>
        <v>2</v>
      </c>
      <c r="I6" s="15" t="s">
        <v>97</v>
      </c>
    </row>
    <row r="7" ht="21" customHeight="true" spans="1:4">
      <c r="A7" s="3" t="s">
        <v>25</v>
      </c>
      <c r="B7" s="5">
        <v>2.16660513704592</v>
      </c>
      <c r="C7" s="5" t="str">
        <f>LOOKUP(B7,{0;2;4;6;8;30},{"1.1";"1";"0.9";"0.8";"0.7";""})</f>
        <v>1</v>
      </c>
      <c r="D7" s="6"/>
    </row>
    <row r="8" ht="21" customHeight="true" spans="1:9">
      <c r="A8" s="3" t="s">
        <v>26</v>
      </c>
      <c r="B8" s="5">
        <v>1.79991672750548</v>
      </c>
      <c r="C8" s="5" t="str">
        <f>LOOKUP(B8,{0;2;4;6;8;30},{"1.1";"1";"0.9";"0.8";"0.7";""})</f>
        <v>1.1</v>
      </c>
      <c r="D8" s="6"/>
      <c r="E8" s="10" t="s">
        <v>98</v>
      </c>
      <c r="F8" s="10"/>
      <c r="G8" s="10"/>
      <c r="H8" s="10"/>
      <c r="I8" s="10"/>
    </row>
    <row r="9" ht="21" customHeight="true" spans="1:9">
      <c r="A9" s="3" t="s">
        <v>27</v>
      </c>
      <c r="B9" s="5">
        <v>2.25400651473372</v>
      </c>
      <c r="C9" s="5" t="str">
        <f>LOOKUP(B9,{0;2;4;6;8;30},{"1.1";"1";"0.9";"0.8";"0.7";""})</f>
        <v>1</v>
      </c>
      <c r="D9" s="6"/>
      <c r="E9" s="10"/>
      <c r="F9" s="10"/>
      <c r="G9" s="10"/>
      <c r="H9" s="10"/>
      <c r="I9" s="10"/>
    </row>
    <row r="10" ht="21" customHeight="true" spans="1:9">
      <c r="A10" s="3" t="s">
        <v>28</v>
      </c>
      <c r="B10" s="5">
        <v>3.76315611329631</v>
      </c>
      <c r="C10" s="5" t="str">
        <f>LOOKUP(B10,{0;2;4;6;8;30},{"1.1";"1";"0.9";"0.8";"0.7";""})</f>
        <v>1</v>
      </c>
      <c r="D10" s="6"/>
      <c r="E10" s="10" t="s">
        <v>99</v>
      </c>
      <c r="F10" s="10"/>
      <c r="G10" s="10"/>
      <c r="H10" s="10"/>
      <c r="I10" s="10"/>
    </row>
    <row r="11" ht="21" customHeight="true" spans="1:9">
      <c r="A11" s="3" t="s">
        <v>29</v>
      </c>
      <c r="B11" s="5">
        <v>1.42333310643424</v>
      </c>
      <c r="C11" s="5" t="str">
        <f>LOOKUP(B11,{0;2;4;6;8;30},{"1.1";"1";"0.9";"0.8";"0.7";""})</f>
        <v>1.1</v>
      </c>
      <c r="D11" s="6"/>
      <c r="E11" s="10"/>
      <c r="F11" s="10"/>
      <c r="G11" s="10"/>
      <c r="H11" s="10"/>
      <c r="I11" s="10"/>
    </row>
    <row r="12" ht="21" customHeight="true" spans="1:9">
      <c r="A12" s="3" t="s">
        <v>30</v>
      </c>
      <c r="B12" s="5">
        <v>5.23790697964618</v>
      </c>
      <c r="C12" s="5" t="str">
        <f>LOOKUP(B12,{0;2;4;6;8;30},{"1.1";"1";"0.9";"0.8";"0.7";""})</f>
        <v>0.9</v>
      </c>
      <c r="D12" s="6"/>
      <c r="E12" s="10"/>
      <c r="F12" s="10"/>
      <c r="G12" s="10"/>
      <c r="H12" s="10"/>
      <c r="I12" s="10"/>
    </row>
    <row r="13" ht="21" customHeight="true" spans="1:9">
      <c r="A13" s="3" t="s">
        <v>31</v>
      </c>
      <c r="B13" s="5">
        <v>2.89714786411752</v>
      </c>
      <c r="C13" s="5" t="str">
        <f>LOOKUP(B13,{0;2;4;6;8;30},{"1.1";"1";"0.9";"0.8";"0.7";""})</f>
        <v>1</v>
      </c>
      <c r="D13" s="6"/>
      <c r="E13" s="10"/>
      <c r="F13" s="10"/>
      <c r="G13" s="10"/>
      <c r="H13" s="10"/>
      <c r="I13" s="10"/>
    </row>
    <row r="14" ht="21" customHeight="true" spans="1:9">
      <c r="A14" s="3" t="s">
        <v>32</v>
      </c>
      <c r="B14" s="5">
        <v>2.39828106439583</v>
      </c>
      <c r="C14" s="5" t="str">
        <f>LOOKUP(B14,{0;2;4;6;8;30},{"1.1";"1";"0.9";"0.8";"0.7";""})</f>
        <v>1</v>
      </c>
      <c r="D14" s="6"/>
      <c r="E14" s="10"/>
      <c r="F14" s="10"/>
      <c r="G14" s="10"/>
      <c r="H14" s="10"/>
      <c r="I14" s="10"/>
    </row>
    <row r="15" ht="21" customHeight="true" spans="1:4">
      <c r="A15" s="3" t="s">
        <v>33</v>
      </c>
      <c r="B15" s="5">
        <v>1.59495912056098</v>
      </c>
      <c r="C15" s="5" t="str">
        <f>LOOKUP(B15,{0;2;4;6;8;30},{"1.1";"1";"0.9";"0.8";"0.7";""})</f>
        <v>1.1</v>
      </c>
      <c r="D15" s="6"/>
    </row>
    <row r="16" ht="21" customHeight="true" spans="1:4">
      <c r="A16" s="3" t="s">
        <v>34</v>
      </c>
      <c r="B16" s="5">
        <v>2.42033306940129</v>
      </c>
      <c r="C16" s="5" t="str">
        <f>LOOKUP(B16,{0;2;4;6;8;30},{"1.1";"1";"0.9";"0.8";"0.7";""})</f>
        <v>1</v>
      </c>
      <c r="D16" s="6"/>
    </row>
    <row r="17" ht="21" customHeight="true" spans="1:4">
      <c r="A17" s="3" t="s">
        <v>35</v>
      </c>
      <c r="B17" s="5">
        <v>2.24421327963334</v>
      </c>
      <c r="C17" s="5" t="str">
        <f>LOOKUP(B17,{0;2;4;6;8;30},{"1.1";"1";"0.9";"0.8";"0.7";""})</f>
        <v>1</v>
      </c>
      <c r="D17" s="6"/>
    </row>
    <row r="18" ht="21" customHeight="true" spans="1:4">
      <c r="A18" s="3" t="s">
        <v>36</v>
      </c>
      <c r="B18" s="5">
        <v>2.36783063058418</v>
      </c>
      <c r="C18" s="5" t="str">
        <f>LOOKUP(B18,{0;2;4;6;8;30},{"1.1";"1";"0.9";"0.8";"0.7";""})</f>
        <v>1</v>
      </c>
      <c r="D18" s="6"/>
    </row>
    <row r="19" ht="21" customHeight="true" spans="1:4">
      <c r="A19" s="3" t="s">
        <v>37</v>
      </c>
      <c r="B19" s="5">
        <v>2.37554844780578</v>
      </c>
      <c r="C19" s="5" t="str">
        <f>LOOKUP(B19,{0;2;4;6;8;30},{"1.1";"1";"0.9";"0.8";"0.7";""})</f>
        <v>1</v>
      </c>
      <c r="D19" s="6"/>
    </row>
    <row r="20" ht="21" customHeight="true" spans="1:4">
      <c r="A20" s="3" t="s">
        <v>38</v>
      </c>
      <c r="B20" s="5">
        <v>1.32048058138927</v>
      </c>
      <c r="C20" s="5" t="str">
        <f>LOOKUP(B20,{0;2;4;6;8;30},{"1.1";"1";"0.9";"0.8";"0.7";""})</f>
        <v>1.1</v>
      </c>
      <c r="D20" s="6"/>
    </row>
    <row r="21" ht="21" customHeight="true" spans="1:4">
      <c r="A21" s="3" t="s">
        <v>39</v>
      </c>
      <c r="B21" s="5">
        <v>1.75509156567144</v>
      </c>
      <c r="C21" s="5" t="str">
        <f>LOOKUP(B21,{0;2;4;6;8;30},{"1.1";"1";"0.9";"0.8";"0.7";""})</f>
        <v>1.1</v>
      </c>
      <c r="D21" s="6"/>
    </row>
    <row r="22" ht="21" customHeight="true" spans="1:4">
      <c r="A22" s="3" t="s">
        <v>40</v>
      </c>
      <c r="B22" s="5">
        <v>1.46204005787149</v>
      </c>
      <c r="C22" s="5" t="str">
        <f>LOOKUP(B22,{0;2;4;6;8;30},{"1.1";"1";"0.9";"0.8";"0.7";""})</f>
        <v>1.1</v>
      </c>
      <c r="D22" s="6"/>
    </row>
  </sheetData>
  <mergeCells count="2">
    <mergeCell ref="E8:I9"/>
    <mergeCell ref="E10:I14"/>
  </mergeCells>
  <pageMargins left="0.393700787401575" right="0.393700787401575" top="0.78740157480315" bottom="0.78740157480315" header="0.393700787401575" footer="0.393700787401575"/>
  <pageSetup paperSize="9" scale="96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X11" sqref="X11"/>
    </sheetView>
  </sheetViews>
  <sheetFormatPr defaultColWidth="9" defaultRowHeight="15.75"/>
  <cols>
    <col min="1" max="1" width="8.62666666666667" customWidth="true"/>
    <col min="2" max="2" width="9.62666666666667" customWidth="true"/>
    <col min="3" max="3" width="6.62666666666667" customWidth="true"/>
    <col min="4" max="4" width="7.62666666666667" customWidth="true"/>
    <col min="6" max="6" width="5.5" customWidth="true"/>
    <col min="7" max="7" width="8.62666666666667" customWidth="true"/>
    <col min="8" max="8" width="5.5" customWidth="true"/>
    <col min="9" max="9" width="8.62666666666667" customWidth="true"/>
    <col min="10" max="10" width="10.6266666666667" customWidth="true"/>
    <col min="11" max="11" width="8.62666666666667" customWidth="true"/>
  </cols>
  <sheetData>
    <row r="1" ht="45" customHeight="true" spans="1:11">
      <c r="A1" s="1" t="s">
        <v>3</v>
      </c>
      <c r="B1" s="2" t="s">
        <v>100</v>
      </c>
      <c r="C1" s="2" t="s">
        <v>101</v>
      </c>
      <c r="D1" s="2" t="s">
        <v>68</v>
      </c>
      <c r="E1" s="6"/>
      <c r="F1" s="7" t="s">
        <v>84</v>
      </c>
      <c r="G1" s="7" t="s">
        <v>102</v>
      </c>
      <c r="H1" s="7" t="s">
        <v>85</v>
      </c>
      <c r="I1" s="7" t="s">
        <v>68</v>
      </c>
      <c r="J1" s="12"/>
      <c r="K1" s="13"/>
    </row>
    <row r="2" ht="21" customHeight="true" spans="1:11">
      <c r="A2" s="3" t="s">
        <v>21</v>
      </c>
      <c r="B2" s="17">
        <v>89.5</v>
      </c>
      <c r="C2" s="5">
        <f>RANK(B2,B$2:B$21,0)</f>
        <v>9</v>
      </c>
      <c r="D2" s="5" t="str">
        <f>IF(B2&gt;=80,LOOKUP(PERCENTRANK($C$2:$C$21,C2),{0,0.2,0.8},{"1.2","1","0.8"}),IF(B2&gt;=60,LOOKUP(PERCENTRANK($C$2:$C$21,C2),{0,0.2,0.8},{"0.6","0.5","0.4"}),0))</f>
        <v>1</v>
      </c>
      <c r="E2" s="6"/>
      <c r="F2" s="8">
        <v>1</v>
      </c>
      <c r="G2" s="9" t="s">
        <v>103</v>
      </c>
      <c r="H2" s="8">
        <f>COUNTIF(D2:D21,I2)</f>
        <v>4</v>
      </c>
      <c r="I2" s="8">
        <v>1.2</v>
      </c>
      <c r="J2" s="14" t="s">
        <v>104</v>
      </c>
      <c r="K2" s="15"/>
    </row>
    <row r="3" ht="21" customHeight="true" spans="1:11">
      <c r="A3" s="3" t="s">
        <v>22</v>
      </c>
      <c r="B3" s="17">
        <v>85.5</v>
      </c>
      <c r="C3" s="5">
        <f t="shared" ref="C3:C21" si="0">RANK(B3,B$2:B$21,0)</f>
        <v>18</v>
      </c>
      <c r="D3" s="5" t="str">
        <f>IF(B3&gt;=80,LOOKUP(PERCENTRANK($C$2:$C$21,C3),{0,0.2,0.8},{"1.2","1","0.8"}),IF(B3&gt;=60,LOOKUP(PERCENTRANK($C$2:$C$21,C3),{0,0.2,0.8},{"0.6","0.5","0.4"}),0))</f>
        <v>0.8</v>
      </c>
      <c r="E3" s="6"/>
      <c r="F3" s="8">
        <v>2</v>
      </c>
      <c r="G3" s="9"/>
      <c r="H3" s="8">
        <f>COUNTIF(D2:D21,I3)</f>
        <v>12</v>
      </c>
      <c r="I3" s="8">
        <v>1</v>
      </c>
      <c r="J3" s="14" t="s">
        <v>105</v>
      </c>
      <c r="K3" s="15"/>
    </row>
    <row r="4" ht="21" customHeight="true" spans="1:11">
      <c r="A4" s="3" t="s">
        <v>23</v>
      </c>
      <c r="B4" s="17">
        <v>89.17</v>
      </c>
      <c r="C4" s="5">
        <f t="shared" si="0"/>
        <v>10</v>
      </c>
      <c r="D4" s="5" t="str">
        <f>IF(B4&gt;=80,LOOKUP(PERCENTRANK($C$2:$C$21,C4),{0,0.2,0.8},{"1.2","1","0.8"}),IF(B4&gt;=60,LOOKUP(PERCENTRANK($C$2:$C$21,C4),{0,0.2,0.8},{"0.6","0.5","0.4"}),0))</f>
        <v>1</v>
      </c>
      <c r="E4" s="6"/>
      <c r="F4" s="8">
        <v>3</v>
      </c>
      <c r="G4" s="9"/>
      <c r="H4" s="8">
        <f>COUNTIF(D2:D21,0.8)</f>
        <v>4</v>
      </c>
      <c r="I4" s="8" t="s">
        <v>106</v>
      </c>
      <c r="J4" s="14" t="s">
        <v>107</v>
      </c>
      <c r="K4" s="15"/>
    </row>
    <row r="5" ht="21" customHeight="true" spans="1:11">
      <c r="A5" s="3" t="s">
        <v>24</v>
      </c>
      <c r="B5" s="17">
        <v>85.72</v>
      </c>
      <c r="C5" s="5">
        <f t="shared" si="0"/>
        <v>17</v>
      </c>
      <c r="D5" s="5" t="str">
        <f>IF(B5&gt;=80,LOOKUP(PERCENTRANK($C$2:$C$21,C5),{0,0.2,0.8},{"1.2","1","0.8"}),IF(B5&gt;=60,LOOKUP(PERCENTRANK($C$2:$C$21,C5),{0,0.2,0.8},{"0.6","0.5","0.4"}),0))</f>
        <v>0.8</v>
      </c>
      <c r="E5" s="6"/>
      <c r="F5" s="8">
        <v>4</v>
      </c>
      <c r="G5" s="9" t="s">
        <v>108</v>
      </c>
      <c r="H5" s="8">
        <f>COUNTIF(D2:D21,I5)</f>
        <v>0</v>
      </c>
      <c r="I5" s="8">
        <v>0.6</v>
      </c>
      <c r="J5" s="14" t="s">
        <v>109</v>
      </c>
      <c r="K5" s="15"/>
    </row>
    <row r="6" ht="21" customHeight="true" spans="1:11">
      <c r="A6" s="3" t="s">
        <v>25</v>
      </c>
      <c r="B6" s="17">
        <v>98</v>
      </c>
      <c r="C6" s="5">
        <f t="shared" si="0"/>
        <v>1</v>
      </c>
      <c r="D6" s="5" t="str">
        <f>IF(B6&gt;=80,LOOKUP(PERCENTRANK($C$2:$C$21,C6),{0,0.2,0.8},{"1.2","1","0.8"}),IF(B6&gt;=60,LOOKUP(PERCENTRANK($C$2:$C$21,C6),{0,0.2,0.8},{"0.6","0.5","0.4"}),0))</f>
        <v>1.2</v>
      </c>
      <c r="E6" s="6"/>
      <c r="F6" s="8">
        <v>5</v>
      </c>
      <c r="G6" s="9"/>
      <c r="H6" s="8">
        <f>COUNTIF(D2:D21,I6)</f>
        <v>0</v>
      </c>
      <c r="I6" s="8">
        <v>0.5</v>
      </c>
      <c r="J6" s="14" t="s">
        <v>110</v>
      </c>
      <c r="K6" s="15"/>
    </row>
    <row r="7" ht="21" customHeight="true" spans="1:10">
      <c r="A7" s="3" t="s">
        <v>26</v>
      </c>
      <c r="B7" s="17">
        <v>82</v>
      </c>
      <c r="C7" s="5">
        <f t="shared" si="0"/>
        <v>19</v>
      </c>
      <c r="D7" s="5" t="str">
        <f>IF(B7&gt;=80,LOOKUP(PERCENTRANK($C$2:$C$21,C7),{0,0.2,0.8},{"1.2","1","0.8"}),IF(B7&gt;=60,LOOKUP(PERCENTRANK($C$2:$C$21,C7),{0,0.2,0.8},{"0.6","0.5","0.4"}),0))</f>
        <v>0.8</v>
      </c>
      <c r="E7" s="6"/>
      <c r="F7" s="8">
        <v>6</v>
      </c>
      <c r="G7" s="9"/>
      <c r="H7" s="8">
        <f>COUNTIF(D2:D21,I7)</f>
        <v>0</v>
      </c>
      <c r="I7" s="8">
        <v>0.4</v>
      </c>
      <c r="J7" s="14" t="s">
        <v>111</v>
      </c>
    </row>
    <row r="8" ht="21" customHeight="true" spans="1:10">
      <c r="A8" s="3" t="s">
        <v>27</v>
      </c>
      <c r="B8" s="17">
        <v>88</v>
      </c>
      <c r="C8" s="5">
        <f t="shared" si="0"/>
        <v>12</v>
      </c>
      <c r="D8" s="5" t="str">
        <f>IF(B8&gt;=80,LOOKUP(PERCENTRANK($C$2:$C$21,C8),{0,0.2,0.8},{"1.2","1","0.8"}),IF(B8&gt;=60,LOOKUP(PERCENTRANK($C$2:$C$21,C8),{0,0.2,0.8},{"0.6","0.5","0.4"}),0))</f>
        <v>1</v>
      </c>
      <c r="E8" s="6"/>
      <c r="F8" s="8">
        <v>7</v>
      </c>
      <c r="G8" s="9" t="s">
        <v>112</v>
      </c>
      <c r="H8" s="8">
        <f>COUNTIF(D2:D21,I8)</f>
        <v>0</v>
      </c>
      <c r="I8" s="8">
        <v>0</v>
      </c>
      <c r="J8" s="14" t="s">
        <v>113</v>
      </c>
    </row>
    <row r="9" ht="21" customHeight="true" spans="1:5">
      <c r="A9" s="3" t="s">
        <v>28</v>
      </c>
      <c r="B9" s="17">
        <v>93.23</v>
      </c>
      <c r="C9" s="5">
        <f t="shared" si="0"/>
        <v>6</v>
      </c>
      <c r="D9" s="5" t="str">
        <f>IF(B9&gt;=80,LOOKUP(PERCENTRANK($C$2:$C$21,C9),{0,0.2,0.8},{"1.2","1","0.8"}),IF(B9&gt;=60,LOOKUP(PERCENTRANK($C$2:$C$21,C9),{0,0.2,0.8},{"0.6","0.5","0.4"}),0))</f>
        <v>1</v>
      </c>
      <c r="E9" s="6"/>
    </row>
    <row r="10" ht="21" customHeight="true" spans="1:5">
      <c r="A10" s="3" t="s">
        <v>29</v>
      </c>
      <c r="B10" s="17">
        <v>95</v>
      </c>
      <c r="C10" s="5">
        <f t="shared" si="0"/>
        <v>5</v>
      </c>
      <c r="D10" s="5" t="str">
        <f>IF(B10&gt;=80,LOOKUP(PERCENTRANK($C$2:$C$21,C10),{0,0.2,0.8},{"1.2","1","0.8"}),IF(B10&gt;=60,LOOKUP(PERCENTRANK($C$2:$C$21,C10),{0,0.2,0.8},{"0.6","0.5","0.4"}),0))</f>
        <v>1</v>
      </c>
      <c r="E10" s="6"/>
    </row>
    <row r="11" ht="21" customHeight="true" spans="1:11">
      <c r="A11" s="3" t="s">
        <v>30</v>
      </c>
      <c r="B11" s="17">
        <v>86</v>
      </c>
      <c r="C11" s="5">
        <f t="shared" si="0"/>
        <v>16</v>
      </c>
      <c r="D11" s="5" t="str">
        <f>IF(B11&gt;=80,LOOKUP(PERCENTRANK($C$2:$C$21,C11),{0,0.2,0.8},{"1.2","1","0.8"}),IF(B11&gt;=60,LOOKUP(PERCENTRANK($C$2:$C$21,C11),{0,0.2,0.8},{"0.6","0.5","0.4"}),0))</f>
        <v>1</v>
      </c>
      <c r="E11" s="6"/>
      <c r="F11" s="10" t="s">
        <v>114</v>
      </c>
      <c r="G11" s="10"/>
      <c r="H11" s="10"/>
      <c r="I11" s="10"/>
      <c r="J11" s="10"/>
      <c r="K11" s="10"/>
    </row>
    <row r="12" ht="21" customHeight="true" spans="1:11">
      <c r="A12" s="3" t="s">
        <v>31</v>
      </c>
      <c r="B12" s="17">
        <v>91.5</v>
      </c>
      <c r="C12" s="5">
        <f t="shared" si="0"/>
        <v>7</v>
      </c>
      <c r="D12" s="5" t="str">
        <f>IF(B12&gt;=80,LOOKUP(PERCENTRANK($C$2:$C$21,C12),{0,0.2,0.8},{"1.2","1","0.8"}),IF(B12&gt;=60,LOOKUP(PERCENTRANK($C$2:$C$21,C12),{0,0.2,0.8},{"0.6","0.5","0.4"}),0))</f>
        <v>1</v>
      </c>
      <c r="E12" s="6"/>
      <c r="F12" s="10"/>
      <c r="G12" s="10"/>
      <c r="H12" s="10"/>
      <c r="I12" s="10"/>
      <c r="J12" s="10"/>
      <c r="K12" s="10"/>
    </row>
    <row r="13" ht="21" customHeight="true" spans="1:10">
      <c r="A13" s="3" t="s">
        <v>32</v>
      </c>
      <c r="B13" s="17">
        <v>90</v>
      </c>
      <c r="C13" s="5">
        <f t="shared" si="0"/>
        <v>8</v>
      </c>
      <c r="D13" s="5" t="str">
        <f>IF(B13&gt;=80,LOOKUP(PERCENTRANK($C$2:$C$21,C13),{0,0.2,0.8},{"1.2","1","0.8"}),IF(B13&gt;=60,LOOKUP(PERCENTRANK($C$2:$C$21,C13),{0,0.2,0.8},{"0.6","0.5","0.4"}),0))</f>
        <v>1</v>
      </c>
      <c r="E13" s="6"/>
      <c r="F13" s="10"/>
      <c r="G13" s="10"/>
      <c r="H13" s="10"/>
      <c r="I13" s="10"/>
      <c r="J13" s="10"/>
    </row>
    <row r="14" ht="21" customHeight="true" spans="1:5">
      <c r="A14" s="3" t="s">
        <v>33</v>
      </c>
      <c r="B14" s="17">
        <v>97</v>
      </c>
      <c r="C14" s="5">
        <f t="shared" si="0"/>
        <v>3</v>
      </c>
      <c r="D14" s="5" t="str">
        <f>IF(B14&gt;=80,LOOKUP(PERCENTRANK($C$2:$C$21,C14),{0,0.2,0.8},{"1.2","1","0.8"}),IF(B14&gt;=60,LOOKUP(PERCENTRANK($C$2:$C$21,C14),{0,0.2,0.8},{"0.6","0.5","0.4"}),0))</f>
        <v>1.2</v>
      </c>
      <c r="E14" s="6"/>
    </row>
    <row r="15" ht="21" customHeight="true" spans="1:5">
      <c r="A15" s="3" t="s">
        <v>34</v>
      </c>
      <c r="B15" s="17">
        <v>88</v>
      </c>
      <c r="C15" s="5">
        <f t="shared" si="0"/>
        <v>12</v>
      </c>
      <c r="D15" s="5" t="str">
        <f>IF(B15&gt;=80,LOOKUP(PERCENTRANK($C$2:$C$21,C15),{0,0.2,0.8},{"1.2","1","0.8"}),IF(B15&gt;=60,LOOKUP(PERCENTRANK($C$2:$C$21,C15),{0,0.2,0.8},{"0.6","0.5","0.4"}),0))</f>
        <v>1</v>
      </c>
      <c r="E15" s="6"/>
    </row>
    <row r="16" ht="21" customHeight="true" spans="1:5">
      <c r="A16" s="3" t="s">
        <v>35</v>
      </c>
      <c r="B16" s="17">
        <v>86.89</v>
      </c>
      <c r="C16" s="5">
        <f t="shared" si="0"/>
        <v>15</v>
      </c>
      <c r="D16" s="5" t="str">
        <f>IF(B16&gt;=80,LOOKUP(PERCENTRANK($C$2:$C$21,C16),{0,0.2,0.8},{"1.2","1","0.8"}),IF(B16&gt;=60,LOOKUP(PERCENTRANK($C$2:$C$21,C16),{0,0.2,0.8},{"0.6","0.5","0.4"}),0))</f>
        <v>1</v>
      </c>
      <c r="E16" s="6"/>
    </row>
    <row r="17" ht="21" customHeight="true" spans="1:5">
      <c r="A17" s="3" t="s">
        <v>36</v>
      </c>
      <c r="B17" s="17">
        <v>95.43</v>
      </c>
      <c r="C17" s="5">
        <f t="shared" si="0"/>
        <v>4</v>
      </c>
      <c r="D17" s="5" t="str">
        <f>IF(B17&gt;=80,LOOKUP(PERCENTRANK($C$2:$C$21,C17),{0,0.2,0.8},{"1.2","1","0.8"}),IF(B17&gt;=60,LOOKUP(PERCENTRANK($C$2:$C$21,C17),{0,0.2,0.8},{"0.6","0.5","0.4"}),0))</f>
        <v>1.2</v>
      </c>
      <c r="E17" s="6"/>
    </row>
    <row r="18" ht="21" customHeight="true" spans="1:5">
      <c r="A18" s="3" t="s">
        <v>37</v>
      </c>
      <c r="B18" s="17">
        <v>97.4</v>
      </c>
      <c r="C18" s="5">
        <f t="shared" si="0"/>
        <v>2</v>
      </c>
      <c r="D18" s="5" t="str">
        <f>IF(B18&gt;=80,LOOKUP(PERCENTRANK($C$2:$C$21,C18),{0,0.2,0.8},{"1.2","1","0.8"}),IF(B18&gt;=60,LOOKUP(PERCENTRANK($C$2:$C$21,C18),{0,0.2,0.8},{"0.6","0.5","0.4"}),0))</f>
        <v>1.2</v>
      </c>
      <c r="E18" s="6"/>
    </row>
    <row r="19" ht="21" customHeight="true" spans="1:5">
      <c r="A19" s="3" t="s">
        <v>38</v>
      </c>
      <c r="B19" s="17">
        <v>88.65</v>
      </c>
      <c r="C19" s="5">
        <f t="shared" si="0"/>
        <v>11</v>
      </c>
      <c r="D19" s="5" t="str">
        <f>IF(B19&gt;=80,LOOKUP(PERCENTRANK($C$2:$C$21,C19),{0,0.2,0.8},{"1.2","1","0.8"}),IF(B19&gt;=60,LOOKUP(PERCENTRANK($C$2:$C$21,C19),{0,0.2,0.8},{"0.6","0.5","0.4"}),0))</f>
        <v>1</v>
      </c>
      <c r="E19" s="6"/>
    </row>
    <row r="20" ht="21" customHeight="true" spans="1:5">
      <c r="A20" s="3" t="s">
        <v>39</v>
      </c>
      <c r="B20" s="17">
        <v>81</v>
      </c>
      <c r="C20" s="5">
        <f t="shared" si="0"/>
        <v>20</v>
      </c>
      <c r="D20" s="5" t="str">
        <f>IF(B20&gt;=80,LOOKUP(PERCENTRANK($C$2:$C$21,C20),{0,0.2,0.8},{"1.2","1","0.8"}),IF(B20&gt;=60,LOOKUP(PERCENTRANK($C$2:$C$21,C20),{0,0.2,0.8},{"0.6","0.5","0.4"}),0))</f>
        <v>0.8</v>
      </c>
      <c r="E20" s="6"/>
    </row>
    <row r="21" ht="21" customHeight="true" spans="1:5">
      <c r="A21" s="3" t="s">
        <v>40</v>
      </c>
      <c r="B21" s="17">
        <v>87.31</v>
      </c>
      <c r="C21" s="5">
        <f t="shared" si="0"/>
        <v>14</v>
      </c>
      <c r="D21" s="5" t="str">
        <f>IF(B21&gt;=80,LOOKUP(PERCENTRANK($C$2:$C$21,C21),{0,0.2,0.8},{"1.2","1","0.8"}),IF(B21&gt;=60,LOOKUP(PERCENTRANK($C$2:$C$21,C21),{0,0.2,0.8},{"0.6","0.5","0.4"}),0))</f>
        <v>1</v>
      </c>
      <c r="E21" s="6"/>
    </row>
  </sheetData>
  <mergeCells count="3">
    <mergeCell ref="G2:G4"/>
    <mergeCell ref="G5:G7"/>
    <mergeCell ref="F11:J13"/>
  </mergeCells>
  <pageMargins left="0.78740157480315" right="0.78740157480315" top="0.78740157480315" bottom="0.78740157480315" header="0.393700787401575" footer="0.393700787401575"/>
  <pageSetup paperSize="9" scale="96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X11" sqref="X11"/>
    </sheetView>
  </sheetViews>
  <sheetFormatPr defaultColWidth="9" defaultRowHeight="15.75"/>
  <cols>
    <col min="1" max="1" width="8.62666666666667" customWidth="true"/>
    <col min="2" max="2" width="15.6266666666667" customWidth="true"/>
    <col min="3" max="3" width="6.62666666666667" customWidth="true"/>
    <col min="4" max="4" width="8.62666666666667" customWidth="true"/>
    <col min="6" max="6" width="5.5" customWidth="true"/>
    <col min="7" max="7" width="8.62666666666667" customWidth="true"/>
    <col min="8" max="8" width="5.5" customWidth="true"/>
    <col min="9" max="9" width="9.5" customWidth="true"/>
    <col min="10" max="10" width="10.6266666666667" customWidth="true"/>
    <col min="11" max="11" width="8.62666666666667" customWidth="true"/>
  </cols>
  <sheetData>
    <row r="1" ht="42.75" spans="1:11">
      <c r="A1" s="1" t="s">
        <v>3</v>
      </c>
      <c r="B1" s="2" t="s">
        <v>115</v>
      </c>
      <c r="C1" s="2" t="s">
        <v>101</v>
      </c>
      <c r="D1" s="2" t="s">
        <v>68</v>
      </c>
      <c r="E1" s="6"/>
      <c r="F1" s="7" t="s">
        <v>84</v>
      </c>
      <c r="G1" s="7" t="s">
        <v>102</v>
      </c>
      <c r="H1" s="7" t="s">
        <v>85</v>
      </c>
      <c r="I1" s="7" t="s">
        <v>68</v>
      </c>
      <c r="J1" s="12"/>
      <c r="K1" s="13"/>
    </row>
    <row r="2" ht="21" customHeight="true" spans="1:11">
      <c r="A2" s="3" t="s">
        <v>21</v>
      </c>
      <c r="B2" s="4">
        <v>84</v>
      </c>
      <c r="C2" s="5">
        <f>RANK(B2,B$2:B$21,0)</f>
        <v>1</v>
      </c>
      <c r="D2" s="5" t="str">
        <f>IF(B2&gt;=80,LOOKUP(PERCENTRANK($C$2:$C$21,C2),{0,0.2,0.8},{"1.2","1","0.8"}),IF(B2&gt;=60,LOOKUP(PERCENTRANK($C$2:$C$21,C2),{0,0.2,0.8},{"0.6","0.5","0.4"}),0))</f>
        <v>1.2</v>
      </c>
      <c r="E2" s="6"/>
      <c r="F2" s="8">
        <v>1</v>
      </c>
      <c r="G2" s="9" t="s">
        <v>103</v>
      </c>
      <c r="H2" s="8">
        <f>COUNTIF(D2:D21,I2)</f>
        <v>6</v>
      </c>
      <c r="I2" s="8">
        <v>1.2</v>
      </c>
      <c r="J2" s="14" t="s">
        <v>104</v>
      </c>
      <c r="K2" s="15"/>
    </row>
    <row r="3" ht="21" customHeight="true" spans="1:11">
      <c r="A3" s="3" t="s">
        <v>22</v>
      </c>
      <c r="B3" s="4">
        <v>80</v>
      </c>
      <c r="C3" s="5">
        <f t="shared" ref="C3:C21" si="0">RANK(B3,B$2:B$21,0)</f>
        <v>7</v>
      </c>
      <c r="D3" s="5" t="str">
        <f>IF(B3&gt;=80,LOOKUP(PERCENTRANK($C$2:$C$21,C3),{0,0.2,0.8},{"1.2","1","0.8"}),IF(B3&gt;=60,LOOKUP(PERCENTRANK($C$2:$C$21,C3),{0,0.2,0.8},{"0.6","0.5","0.4"}),0))</f>
        <v>1</v>
      </c>
      <c r="E3" s="6"/>
      <c r="F3" s="8">
        <v>2</v>
      </c>
      <c r="G3" s="9"/>
      <c r="H3" s="8">
        <f>COUNTIF(D2:D21,I3)</f>
        <v>13</v>
      </c>
      <c r="I3" s="8">
        <v>1</v>
      </c>
      <c r="J3" s="14" t="s">
        <v>105</v>
      </c>
      <c r="K3" s="15"/>
    </row>
    <row r="4" ht="21" customHeight="true" spans="1:11">
      <c r="A4" s="3" t="s">
        <v>23</v>
      </c>
      <c r="B4" s="4">
        <v>80</v>
      </c>
      <c r="C4" s="5">
        <f t="shared" si="0"/>
        <v>7</v>
      </c>
      <c r="D4" s="5" t="str">
        <f>IF(B4&gt;=80,LOOKUP(PERCENTRANK($C$2:$C$21,C4),{0,0.2,0.8},{"1.2","1","0.8"}),IF(B4&gt;=60,LOOKUP(PERCENTRANK($C$2:$C$21,C4),{0,0.2,0.8},{"0.6","0.5","0.4"}),0))</f>
        <v>1</v>
      </c>
      <c r="E4" s="6"/>
      <c r="F4" s="8">
        <v>3</v>
      </c>
      <c r="G4" s="9"/>
      <c r="H4" s="8">
        <f>COUNTIF(D2:D21,0.8)</f>
        <v>0</v>
      </c>
      <c r="I4" s="8" t="s">
        <v>106</v>
      </c>
      <c r="J4" s="14" t="s">
        <v>107</v>
      </c>
      <c r="K4" s="15"/>
    </row>
    <row r="5" ht="21" customHeight="true" spans="1:11">
      <c r="A5" s="3" t="s">
        <v>24</v>
      </c>
      <c r="B5" s="4">
        <v>80</v>
      </c>
      <c r="C5" s="5">
        <f t="shared" si="0"/>
        <v>7</v>
      </c>
      <c r="D5" s="5" t="str">
        <f>IF(B5&gt;=80,LOOKUP(PERCENTRANK($C$2:$C$21,C5),{0,0.2,0.8},{"1.2","1","0.8"}),IF(B5&gt;=60,LOOKUP(PERCENTRANK($C$2:$C$21,C5),{0,0.2,0.8},{"0.6","0.5","0.4"}),0))</f>
        <v>1</v>
      </c>
      <c r="E5" s="6"/>
      <c r="F5" s="8">
        <v>4</v>
      </c>
      <c r="G5" s="9" t="s">
        <v>108</v>
      </c>
      <c r="H5" s="8">
        <f>COUNTIF(D2:D21,I5)</f>
        <v>0</v>
      </c>
      <c r="I5" s="8">
        <v>0.6</v>
      </c>
      <c r="J5" s="14" t="s">
        <v>109</v>
      </c>
      <c r="K5" s="15"/>
    </row>
    <row r="6" ht="21" customHeight="true" spans="1:11">
      <c r="A6" s="3" t="s">
        <v>25</v>
      </c>
      <c r="B6" s="4">
        <v>83</v>
      </c>
      <c r="C6" s="5">
        <f t="shared" si="0"/>
        <v>3</v>
      </c>
      <c r="D6" s="5" t="str">
        <f>IF(B6&gt;=80,LOOKUP(PERCENTRANK($C$2:$C$21,C6),{0,0.2,0.8},{"1.2","1","0.8"}),IF(B6&gt;=60,LOOKUP(PERCENTRANK($C$2:$C$21,C6),{0,0.2,0.8},{"0.6","0.5","0.4"}),0))</f>
        <v>1.2</v>
      </c>
      <c r="E6" s="6"/>
      <c r="F6" s="8">
        <v>5</v>
      </c>
      <c r="G6" s="9"/>
      <c r="H6" s="8">
        <f>COUNTIF(D2:D21,I6)</f>
        <v>0</v>
      </c>
      <c r="I6" s="8">
        <v>0.5</v>
      </c>
      <c r="J6" s="14" t="s">
        <v>110</v>
      </c>
      <c r="K6" s="15"/>
    </row>
    <row r="7" ht="21" customHeight="true" spans="1:10">
      <c r="A7" s="3" t="s">
        <v>26</v>
      </c>
      <c r="B7" s="4">
        <v>80</v>
      </c>
      <c r="C7" s="5">
        <f t="shared" si="0"/>
        <v>7</v>
      </c>
      <c r="D7" s="5" t="str">
        <f>IF(B7&gt;=80,LOOKUP(PERCENTRANK($C$2:$C$21,C7),{0,0.2,0.8},{"1.2","1","0.8"}),IF(B7&gt;=60,LOOKUP(PERCENTRANK($C$2:$C$21,C7),{0,0.2,0.8},{"0.6","0.5","0.4"}),0))</f>
        <v>1</v>
      </c>
      <c r="E7" s="6"/>
      <c r="F7" s="8">
        <v>6</v>
      </c>
      <c r="G7" s="9"/>
      <c r="H7" s="8">
        <f>COUNTIF(D2:D21,I7)</f>
        <v>0</v>
      </c>
      <c r="I7" s="8">
        <v>0.4</v>
      </c>
      <c r="J7" s="14" t="s">
        <v>111</v>
      </c>
    </row>
    <row r="8" ht="21" customHeight="true" spans="1:11">
      <c r="A8" s="3" t="s">
        <v>27</v>
      </c>
      <c r="B8" s="4">
        <v>80</v>
      </c>
      <c r="C8" s="5">
        <f t="shared" si="0"/>
        <v>7</v>
      </c>
      <c r="D8" s="5" t="str">
        <f>IF(B8&gt;=80,LOOKUP(PERCENTRANK($C$2:$C$21,C8),{0,0.2,0.8},{"1.2","1","0.8"}),IF(B8&gt;=60,LOOKUP(PERCENTRANK($C$2:$C$21,C8),{0,0.2,0.8},{"0.6","0.5","0.4"}),0))</f>
        <v>1</v>
      </c>
      <c r="E8" s="6"/>
      <c r="F8" s="8">
        <v>7</v>
      </c>
      <c r="G8" s="9" t="s">
        <v>112</v>
      </c>
      <c r="H8" s="8">
        <f>COUNTIF(D2:D21,I8)</f>
        <v>1</v>
      </c>
      <c r="I8" s="8">
        <v>0</v>
      </c>
      <c r="J8" s="14" t="s">
        <v>113</v>
      </c>
      <c r="K8" s="10"/>
    </row>
    <row r="9" ht="21" customHeight="true" spans="1:11">
      <c r="A9" s="3" t="s">
        <v>28</v>
      </c>
      <c r="B9" s="4">
        <v>80</v>
      </c>
      <c r="C9" s="5">
        <f t="shared" si="0"/>
        <v>7</v>
      </c>
      <c r="D9" s="5" t="str">
        <f>IF(B9&gt;=80,LOOKUP(PERCENTRANK($C$2:$C$21,C9),{0,0.2,0.8},{"1.2","1","0.8"}),IF(B9&gt;=60,LOOKUP(PERCENTRANK($C$2:$C$21,C9),{0,0.2,0.8},{"0.6","0.5","0.4"}),0))</f>
        <v>1</v>
      </c>
      <c r="E9" s="6"/>
      <c r="K9" s="10"/>
    </row>
    <row r="10" ht="21" customHeight="true" spans="1:10">
      <c r="A10" s="3" t="s">
        <v>29</v>
      </c>
      <c r="B10" s="4">
        <v>53</v>
      </c>
      <c r="C10" s="5">
        <f t="shared" si="0"/>
        <v>20</v>
      </c>
      <c r="D10" s="5">
        <f>IF(B10&gt;=80,LOOKUP(PERCENTRANK($C$2:$C$21,C10),{0,0.2,0.8},{"1.2","1","0.8"}),IF(B10&gt;=60,LOOKUP(PERCENTRANK($C$2:$C$21,C10),{0,0.2,0.8},{"0.6","0.5","0.4"}),0))</f>
        <v>0</v>
      </c>
      <c r="E10" s="6"/>
      <c r="F10" s="10" t="s">
        <v>114</v>
      </c>
      <c r="G10" s="10"/>
      <c r="H10" s="10"/>
      <c r="I10" s="10"/>
      <c r="J10" s="10"/>
    </row>
    <row r="11" ht="21" customHeight="true" spans="1:11">
      <c r="A11" s="3" t="s">
        <v>30</v>
      </c>
      <c r="B11" s="4">
        <v>84</v>
      </c>
      <c r="C11" s="5">
        <f t="shared" si="0"/>
        <v>1</v>
      </c>
      <c r="D11" s="5" t="str">
        <f>IF(B11&gt;=80,LOOKUP(PERCENTRANK($C$2:$C$21,C11),{0,0.2,0.8},{"1.2","1","0.8"}),IF(B11&gt;=60,LOOKUP(PERCENTRANK($C$2:$C$21,C11),{0,0.2,0.8},{"0.6","0.5","0.4"}),0))</f>
        <v>1.2</v>
      </c>
      <c r="E11" s="6"/>
      <c r="F11" s="10"/>
      <c r="G11" s="10"/>
      <c r="H11" s="10"/>
      <c r="I11" s="10"/>
      <c r="J11" s="10"/>
      <c r="K11" s="10"/>
    </row>
    <row r="12" ht="21" customHeight="true" spans="1:11">
      <c r="A12" s="3" t="s">
        <v>31</v>
      </c>
      <c r="B12" s="4">
        <v>80</v>
      </c>
      <c r="C12" s="5">
        <f t="shared" si="0"/>
        <v>7</v>
      </c>
      <c r="D12" s="5" t="str">
        <f>IF(B12&gt;=80,LOOKUP(PERCENTRANK($C$2:$C$21,C12),{0,0.2,0.8},{"1.2","1","0.8"}),IF(B12&gt;=60,LOOKUP(PERCENTRANK($C$2:$C$21,C12),{0,0.2,0.8},{"0.6","0.5","0.4"}),0))</f>
        <v>1</v>
      </c>
      <c r="E12" s="6"/>
      <c r="F12" s="10"/>
      <c r="G12" s="10"/>
      <c r="H12" s="10"/>
      <c r="I12" s="10"/>
      <c r="J12" s="10"/>
      <c r="K12" s="10"/>
    </row>
    <row r="13" ht="21" customHeight="true" spans="1:11">
      <c r="A13" s="3" t="s">
        <v>32</v>
      </c>
      <c r="B13" s="4">
        <v>83</v>
      </c>
      <c r="C13" s="5">
        <f t="shared" si="0"/>
        <v>3</v>
      </c>
      <c r="D13" s="5" t="str">
        <f>IF(B13&gt;=80,LOOKUP(PERCENTRANK($C$2:$C$21,C13),{0,0.2,0.8},{"1.2","1","0.8"}),IF(B13&gt;=60,LOOKUP(PERCENTRANK($C$2:$C$21,C13),{0,0.2,0.8},{"0.6","0.5","0.4"}),0))</f>
        <v>1.2</v>
      </c>
      <c r="E13" s="6"/>
      <c r="K13" s="16"/>
    </row>
    <row r="14" ht="21" customHeight="true" spans="1:11">
      <c r="A14" s="3" t="s">
        <v>33</v>
      </c>
      <c r="B14" s="4">
        <v>80</v>
      </c>
      <c r="C14" s="5">
        <f t="shared" si="0"/>
        <v>7</v>
      </c>
      <c r="D14" s="5" t="str">
        <f>IF(B14&gt;=80,LOOKUP(PERCENTRANK($C$2:$C$21,C14),{0,0.2,0.8},{"1.2","1","0.8"}),IF(B14&gt;=60,LOOKUP(PERCENTRANK($C$2:$C$21,C14),{0,0.2,0.8},{"0.6","0.5","0.4"}),0))</f>
        <v>1</v>
      </c>
      <c r="E14" s="6"/>
      <c r="F14" s="11" t="s">
        <v>116</v>
      </c>
      <c r="G14" s="11"/>
      <c r="H14" s="11"/>
      <c r="I14" s="11"/>
      <c r="J14" s="11"/>
      <c r="K14" s="16"/>
    </row>
    <row r="15" ht="21" customHeight="true" spans="1:11">
      <c r="A15" s="3" t="s">
        <v>34</v>
      </c>
      <c r="B15" s="4">
        <v>80</v>
      </c>
      <c r="C15" s="5">
        <f t="shared" si="0"/>
        <v>7</v>
      </c>
      <c r="D15" s="5" t="str">
        <f>IF(B15&gt;=80,LOOKUP(PERCENTRANK($C$2:$C$21,C15),{0,0.2,0.8},{"1.2","1","0.8"}),IF(B15&gt;=60,LOOKUP(PERCENTRANK($C$2:$C$21,C15),{0,0.2,0.8},{"0.6","0.5","0.4"}),0))</f>
        <v>1</v>
      </c>
      <c r="E15" s="6"/>
      <c r="F15" s="11"/>
      <c r="G15" s="11"/>
      <c r="H15" s="11"/>
      <c r="I15" s="11"/>
      <c r="J15" s="11"/>
      <c r="K15" s="16"/>
    </row>
    <row r="16" ht="21" customHeight="true" spans="1:10">
      <c r="A16" s="3" t="s">
        <v>35</v>
      </c>
      <c r="B16" s="4">
        <v>80</v>
      </c>
      <c r="C16" s="5">
        <f t="shared" si="0"/>
        <v>7</v>
      </c>
      <c r="D16" s="5" t="str">
        <f>IF(B16&gt;=80,LOOKUP(PERCENTRANK($C$2:$C$21,C16),{0,0.2,0.8},{"1.2","1","0.8"}),IF(B16&gt;=60,LOOKUP(PERCENTRANK($C$2:$C$21,C16),{0,0.2,0.8},{"0.6","0.5","0.4"}),0))</f>
        <v>1</v>
      </c>
      <c r="E16" s="6"/>
      <c r="F16" s="11"/>
      <c r="G16" s="11"/>
      <c r="H16" s="11"/>
      <c r="I16" s="11"/>
      <c r="J16" s="11"/>
    </row>
    <row r="17" ht="21" customHeight="true" spans="1:10">
      <c r="A17" s="3" t="s">
        <v>36</v>
      </c>
      <c r="B17" s="4">
        <v>83</v>
      </c>
      <c r="C17" s="5">
        <f t="shared" si="0"/>
        <v>3</v>
      </c>
      <c r="D17" s="5" t="str">
        <f>IF(B17&gt;=80,LOOKUP(PERCENTRANK($C$2:$C$21,C17),{0,0.2,0.8},{"1.2","1","0.8"}),IF(B17&gt;=60,LOOKUP(PERCENTRANK($C$2:$C$21,C17),{0,0.2,0.8},{"0.6","0.5","0.4"}),0))</f>
        <v>1.2</v>
      </c>
      <c r="E17" s="6"/>
      <c r="F17" s="11"/>
      <c r="G17" s="11"/>
      <c r="H17" s="11"/>
      <c r="I17" s="11"/>
      <c r="J17" s="11"/>
    </row>
    <row r="18" ht="21" customHeight="true" spans="1:5">
      <c r="A18" s="3" t="s">
        <v>37</v>
      </c>
      <c r="B18" s="4">
        <v>80</v>
      </c>
      <c r="C18" s="5">
        <f t="shared" si="0"/>
        <v>7</v>
      </c>
      <c r="D18" s="5" t="str">
        <f>IF(B18&gt;=80,LOOKUP(PERCENTRANK($C$2:$C$21,C18),{0,0.2,0.8},{"1.2","1","0.8"}),IF(B18&gt;=60,LOOKUP(PERCENTRANK($C$2:$C$21,C18),{0,0.2,0.8},{"0.6","0.5","0.4"}),0))</f>
        <v>1</v>
      </c>
      <c r="E18" s="6"/>
    </row>
    <row r="19" ht="21" customHeight="true" spans="1:10">
      <c r="A19" s="3" t="s">
        <v>38</v>
      </c>
      <c r="B19" s="4">
        <v>83</v>
      </c>
      <c r="C19" s="5">
        <f t="shared" si="0"/>
        <v>3</v>
      </c>
      <c r="D19" s="5" t="str">
        <f>IF(B19&gt;=80,LOOKUP(PERCENTRANK($C$2:$C$21,C19),{0,0.2,0.8},{"1.2","1","0.8"}),IF(B19&gt;=60,LOOKUP(PERCENTRANK($C$2:$C$21,C19),{0,0.2,0.8},{"0.6","0.5","0.4"}),0))</f>
        <v>1.2</v>
      </c>
      <c r="E19" s="6"/>
      <c r="F19" s="10" t="s">
        <v>117</v>
      </c>
      <c r="G19" s="10"/>
      <c r="H19" s="10"/>
      <c r="I19" s="10"/>
      <c r="J19" s="10"/>
    </row>
    <row r="20" ht="21" customHeight="true" spans="1:10">
      <c r="A20" s="3" t="s">
        <v>39</v>
      </c>
      <c r="B20" s="4">
        <v>80</v>
      </c>
      <c r="C20" s="5">
        <f t="shared" si="0"/>
        <v>7</v>
      </c>
      <c r="D20" s="5" t="str">
        <f>IF(B20&gt;=80,LOOKUP(PERCENTRANK($C$2:$C$21,C20),{0,0.2,0.8},{"1.2","1","0.8"}),IF(B20&gt;=60,LOOKUP(PERCENTRANK($C$2:$C$21,C20),{0,0.2,0.8},{"0.6","0.5","0.4"}),0))</f>
        <v>1</v>
      </c>
      <c r="E20" s="6"/>
      <c r="F20" s="10"/>
      <c r="G20" s="10"/>
      <c r="H20" s="10"/>
      <c r="I20" s="10"/>
      <c r="J20" s="10"/>
    </row>
    <row r="21" ht="21" customHeight="true" spans="1:10">
      <c r="A21" s="3" t="s">
        <v>40</v>
      </c>
      <c r="B21" s="4">
        <v>80</v>
      </c>
      <c r="C21" s="5">
        <f t="shared" si="0"/>
        <v>7</v>
      </c>
      <c r="D21" s="5" t="str">
        <f>IF(B21&gt;=80,LOOKUP(PERCENTRANK($C$2:$C$21,C21),{0,0.2,0.8},{"1.2","1","0.8"}),IF(B21&gt;=60,LOOKUP(PERCENTRANK($C$2:$C$21,C21),{0,0.2,0.8},{"0.6","0.5","0.4"}),0))</f>
        <v>1</v>
      </c>
      <c r="E21" s="6"/>
      <c r="F21" s="10"/>
      <c r="G21" s="10"/>
      <c r="H21" s="10"/>
      <c r="I21" s="10"/>
      <c r="J21" s="10"/>
    </row>
    <row r="22" spans="6:10">
      <c r="F22" s="10"/>
      <c r="G22" s="10"/>
      <c r="H22" s="10"/>
      <c r="I22" s="10"/>
      <c r="J22" s="10"/>
    </row>
  </sheetData>
  <mergeCells count="5">
    <mergeCell ref="G2:G4"/>
    <mergeCell ref="G5:G7"/>
    <mergeCell ref="F19:J21"/>
    <mergeCell ref="F10:J12"/>
    <mergeCell ref="F14:J17"/>
  </mergeCells>
  <pageMargins left="0.708661417322835" right="0.708661417322835" top="0.78740157480315" bottom="0.78740157480315" header="0.393700787401575" footer="0.393700787401575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分配表</vt:lpstr>
      <vt:lpstr>住房保障任务资金</vt:lpstr>
      <vt:lpstr>危旧房任务资金</vt:lpstr>
      <vt:lpstr>住房保障奖励资金</vt:lpstr>
      <vt:lpstr>危旧房奖励资金</vt:lpstr>
      <vt:lpstr>财力系数</vt:lpstr>
      <vt:lpstr>住房保障绩效系数</vt:lpstr>
      <vt:lpstr>危旧房绩效系数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szj</cp:lastModifiedBy>
  <dcterms:created xsi:type="dcterms:W3CDTF">2008-09-12T09:22:00Z</dcterms:created>
  <cp:lastPrinted>2025-05-27T01:31:00Z</cp:lastPrinted>
  <dcterms:modified xsi:type="dcterms:W3CDTF">2025-05-26T19:15:25Z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</Properties>
</file>